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法律・条例\赤土等流出防止条例関連\01_赤土等流出防止対策推進事業\赤土対策\★99_その他\規則等改正に向けて\様式、記載例\"/>
    </mc:Choice>
  </mc:AlternateContent>
  <bookViews>
    <workbookView xWindow="0" yWindow="0" windowWidth="20490" windowHeight="7635" activeTab="1"/>
  </bookViews>
  <sheets>
    <sheet name="自然・浸透" sheetId="9" r:id="rId1"/>
    <sheet name="ろ過・凝集（簡易）" sheetId="11" r:id="rId2"/>
    <sheet name="ろ過計算式" sheetId="12" r:id="rId3"/>
    <sheet name="凝集計算式" sheetId="13" r:id="rId4"/>
  </sheets>
  <calcPr calcId="162913"/>
</workbook>
</file>

<file path=xl/calcChain.xml><?xml version="1.0" encoding="utf-8"?>
<calcChain xmlns="http://schemas.openxmlformats.org/spreadsheetml/2006/main">
  <c r="F53" i="13" l="1"/>
  <c r="H53" i="13" s="1"/>
  <c r="D54" i="13"/>
  <c r="F54" i="13"/>
  <c r="D80" i="13"/>
  <c r="D82" i="13"/>
  <c r="H88" i="13" s="1"/>
  <c r="D90" i="13"/>
  <c r="J90" i="13"/>
  <c r="D107" i="13"/>
  <c r="E108" i="13"/>
  <c r="D114" i="13"/>
  <c r="D116" i="13"/>
  <c r="N118" i="13" s="1"/>
  <c r="L118" i="13"/>
  <c r="D20" i="12"/>
  <c r="J22" i="12"/>
  <c r="D24" i="12"/>
  <c r="F54" i="12"/>
  <c r="H54" i="12" s="1"/>
  <c r="D55" i="12"/>
  <c r="F55" i="12"/>
  <c r="D80" i="12"/>
  <c r="D82" i="12"/>
  <c r="F89" i="12"/>
  <c r="D91" i="12"/>
  <c r="H91" i="12"/>
  <c r="J91" i="12"/>
  <c r="D109" i="12"/>
  <c r="E110" i="12"/>
  <c r="D116" i="12"/>
  <c r="D118" i="12"/>
  <c r="N120" i="12" s="1"/>
  <c r="L120" i="12"/>
  <c r="L138" i="12"/>
  <c r="L139" i="12"/>
  <c r="D24" i="11"/>
  <c r="F24" i="11" s="1"/>
  <c r="G24" i="11"/>
  <c r="B5" i="11"/>
  <c r="A5" i="11"/>
  <c r="B13" i="11" s="1"/>
  <c r="D9" i="11" s="1"/>
  <c r="G7" i="9"/>
  <c r="E7" i="9"/>
  <c r="G3" i="9"/>
  <c r="C4" i="9"/>
  <c r="E3" i="9"/>
  <c r="C16" i="9"/>
  <c r="C17" i="9" s="1"/>
  <c r="D19" i="9" s="1"/>
  <c r="D21" i="9" s="1"/>
  <c r="C8" i="9"/>
  <c r="D112" i="12" l="1"/>
  <c r="F120" i="12" s="1"/>
  <c r="D78" i="12"/>
  <c r="G9" i="11"/>
  <c r="F9" i="11"/>
  <c r="E9" i="11"/>
  <c r="D23" i="9"/>
  <c r="D24" i="9" s="1"/>
  <c r="D22" i="9"/>
  <c r="D78" i="13"/>
  <c r="D110" i="13"/>
  <c r="F118" i="13" s="1"/>
  <c r="E24" i="11"/>
  <c r="A24" i="11" s="1"/>
  <c r="B24" i="11" s="1"/>
  <c r="C24" i="11" s="1"/>
  <c r="A28" i="11" s="1"/>
  <c r="B28" i="11" s="1"/>
  <c r="E28" i="11" s="1"/>
  <c r="H90" i="13"/>
  <c r="D89" i="12" l="1"/>
  <c r="H89" i="12" s="1"/>
  <c r="D86" i="12"/>
  <c r="F88" i="13"/>
  <c r="J88" i="13" s="1"/>
  <c r="D86" i="13"/>
  <c r="D27" i="9"/>
  <c r="D26" i="9"/>
  <c r="A9" i="11"/>
  <c r="B9" i="11" s="1"/>
  <c r="C9" i="11" s="1"/>
  <c r="I5" i="11" s="1"/>
  <c r="J5" i="11" s="1"/>
  <c r="C13" i="11" s="1"/>
  <c r="F90" i="13" l="1"/>
  <c r="M90" i="13" s="1"/>
  <c r="D100" i="13" s="1"/>
  <c r="D98" i="13"/>
  <c r="F91" i="12"/>
  <c r="M91" i="12" s="1"/>
  <c r="F86" i="12"/>
  <c r="D100" i="12" s="1"/>
  <c r="D97" i="13"/>
  <c r="D29" i="9"/>
  <c r="D30" i="9"/>
  <c r="D102" i="13" l="1"/>
  <c r="G100" i="13"/>
  <c r="D102" i="12"/>
  <c r="D99" i="12"/>
  <c r="D104" i="12" l="1"/>
  <c r="G102" i="12"/>
  <c r="D112" i="13"/>
  <c r="J118" i="13" s="1"/>
  <c r="G107" i="13"/>
  <c r="D118" i="13" l="1"/>
  <c r="D121" i="13"/>
  <c r="F129" i="13" s="1"/>
  <c r="H129" i="13" s="1"/>
  <c r="D131" i="13" s="1"/>
  <c r="J136" i="13" s="1"/>
  <c r="N136" i="13" s="1"/>
  <c r="F138" i="13" s="1"/>
  <c r="J138" i="13" s="1"/>
  <c r="D114" i="12"/>
  <c r="J120" i="12" s="1"/>
  <c r="G109" i="12"/>
  <c r="D120" i="12" l="1"/>
  <c r="D123" i="12"/>
  <c r="F130" i="12" s="1"/>
  <c r="H130" i="12" s="1"/>
  <c r="D132" i="12" s="1"/>
  <c r="L137" i="12" s="1"/>
  <c r="N138" i="13"/>
  <c r="N139" i="13" s="1"/>
  <c r="J139" i="13"/>
  <c r="F142" i="13" l="1"/>
  <c r="F143" i="13"/>
  <c r="J142" i="13" l="1"/>
  <c r="J143" i="13"/>
</calcChain>
</file>

<file path=xl/sharedStrings.xml><?xml version="1.0" encoding="utf-8"?>
<sst xmlns="http://schemas.openxmlformats.org/spreadsheetml/2006/main" count="451" uniqueCount="257">
  <si>
    <t>必要容量</t>
    <rPh sb="0" eb="2">
      <t>ヒツヨウ</t>
    </rPh>
    <rPh sb="2" eb="4">
      <t>ヨウリョウ</t>
    </rPh>
    <phoneticPr fontId="4"/>
  </si>
  <si>
    <t>集水面積</t>
    <rPh sb="0" eb="2">
      <t>シュウスイ</t>
    </rPh>
    <rPh sb="2" eb="4">
      <t>メンセキ</t>
    </rPh>
    <phoneticPr fontId="4"/>
  </si>
  <si>
    <t>＝</t>
    <phoneticPr fontId="2"/>
  </si>
  <si>
    <t>濁水貯留処理施設の設計計算</t>
    <rPh sb="0" eb="2">
      <t>ダクスイ</t>
    </rPh>
    <rPh sb="2" eb="4">
      <t>チョリュウ</t>
    </rPh>
    <rPh sb="4" eb="6">
      <t>ショリ</t>
    </rPh>
    <rPh sb="6" eb="8">
      <t>シセツ</t>
    </rPh>
    <rPh sb="9" eb="11">
      <t>セッケイ</t>
    </rPh>
    <rPh sb="11" eb="13">
      <t>ケイサン</t>
    </rPh>
    <phoneticPr fontId="2"/>
  </si>
  <si>
    <t>濁水貯留処理施設の設計計算は、赤土等流出防止対策技術指針（案） （H７年10月 沖縄県</t>
    <rPh sb="0" eb="2">
      <t>ダクスイ</t>
    </rPh>
    <rPh sb="2" eb="4">
      <t>チョリュウ</t>
    </rPh>
    <rPh sb="4" eb="6">
      <t>ショリ</t>
    </rPh>
    <rPh sb="6" eb="8">
      <t>シセツ</t>
    </rPh>
    <rPh sb="9" eb="11">
      <t>セッケイ</t>
    </rPh>
    <rPh sb="11" eb="13">
      <t>ケイサン</t>
    </rPh>
    <rPh sb="15" eb="17">
      <t>アカツチ</t>
    </rPh>
    <rPh sb="17" eb="18">
      <t>トウ</t>
    </rPh>
    <rPh sb="18" eb="20">
      <t>リュウシュツ</t>
    </rPh>
    <rPh sb="20" eb="22">
      <t>ボウシ</t>
    </rPh>
    <rPh sb="22" eb="24">
      <t>タイサク</t>
    </rPh>
    <rPh sb="24" eb="26">
      <t>ギジュツ</t>
    </rPh>
    <rPh sb="26" eb="28">
      <t>シシン</t>
    </rPh>
    <rPh sb="29" eb="30">
      <t>アン</t>
    </rPh>
    <rPh sb="35" eb="36">
      <t>ネン</t>
    </rPh>
    <rPh sb="38" eb="39">
      <t>ガツ</t>
    </rPh>
    <rPh sb="40" eb="43">
      <t>オキナワケン</t>
    </rPh>
    <phoneticPr fontId="2"/>
  </si>
  <si>
    <t>土木建築部） 施設の容量の計算方法に則って行う。</t>
    <rPh sb="0" eb="2">
      <t>ドボク</t>
    </rPh>
    <rPh sb="2" eb="4">
      <t>ケンチク</t>
    </rPh>
    <rPh sb="4" eb="5">
      <t>ブ</t>
    </rPh>
    <rPh sb="7" eb="9">
      <t>シセツ</t>
    </rPh>
    <rPh sb="10" eb="12">
      <t>ヨウリョウ</t>
    </rPh>
    <rPh sb="13" eb="15">
      <t>ケイサン</t>
    </rPh>
    <rPh sb="15" eb="17">
      <t>ホウホウ</t>
    </rPh>
    <rPh sb="18" eb="19">
      <t>ノット</t>
    </rPh>
    <rPh sb="21" eb="22">
      <t>オコナ</t>
    </rPh>
    <phoneticPr fontId="2"/>
  </si>
  <si>
    <t>１．設計条件</t>
    <rPh sb="2" eb="4">
      <t>セッケイ</t>
    </rPh>
    <rPh sb="4" eb="6">
      <t>ジョウケン</t>
    </rPh>
    <phoneticPr fontId="2"/>
  </si>
  <si>
    <t>集水面積</t>
    <rPh sb="0" eb="1">
      <t>シュウ</t>
    </rPh>
    <rPh sb="1" eb="2">
      <t>ミズ</t>
    </rPh>
    <rPh sb="2" eb="4">
      <t>メンセキ</t>
    </rPh>
    <phoneticPr fontId="2"/>
  </si>
  <si>
    <t>Ａ＝</t>
    <phoneticPr fontId="2"/>
  </si>
  <si>
    <t>ha</t>
    <phoneticPr fontId="2"/>
  </si>
  <si>
    <t>流出係数</t>
    <rPh sb="0" eb="2">
      <t>リュウシュツ</t>
    </rPh>
    <rPh sb="2" eb="4">
      <t>ケイスウ</t>
    </rPh>
    <phoneticPr fontId="2"/>
  </si>
  <si>
    <t>ｆ＝</t>
    <phoneticPr fontId="2"/>
  </si>
  <si>
    <t>降雨強度</t>
    <rPh sb="0" eb="2">
      <t>コウウ</t>
    </rPh>
    <rPh sb="2" eb="4">
      <t>キョウド</t>
    </rPh>
    <phoneticPr fontId="2"/>
  </si>
  <si>
    <t>Ｉ＝</t>
    <phoneticPr fontId="2"/>
  </si>
  <si>
    <t>（mm/hr）</t>
  </si>
  <si>
    <t>1/2確率</t>
  </si>
  <si>
    <t>I＝</t>
    <phoneticPr fontId="2"/>
  </si>
  <si>
    <t>（ｔ：min）</t>
    <phoneticPr fontId="2"/>
  </si>
  <si>
    <t>濁水処理量  Qc＝</t>
    <rPh sb="0" eb="2">
      <t>ダクスイ</t>
    </rPh>
    <rPh sb="2" eb="4">
      <t>ショリ</t>
    </rPh>
    <rPh sb="4" eb="5">
      <t>リョウ</t>
    </rPh>
    <phoneticPr fontId="2"/>
  </si>
  <si>
    <t>m</t>
    <phoneticPr fontId="2"/>
  </si>
  <si>
    <t>←堤高</t>
    <rPh sb="1" eb="3">
      <t>ツツミタカ</t>
    </rPh>
    <phoneticPr fontId="2"/>
  </si>
  <si>
    <t>m</t>
    <phoneticPr fontId="2"/>
  </si>
  <si>
    <t>←放流管高</t>
    <rPh sb="1" eb="3">
      <t>ホウリュウ</t>
    </rPh>
    <rPh sb="3" eb="4">
      <t>カン</t>
    </rPh>
    <rPh sb="4" eb="5">
      <t>タカ</t>
    </rPh>
    <phoneticPr fontId="2"/>
  </si>
  <si>
    <t>=</t>
    <phoneticPr fontId="2"/>
  </si>
  <si>
    <t>m</t>
    <phoneticPr fontId="2"/>
  </si>
  <si>
    <t>←ろ過堤(上面)長さ</t>
    <rPh sb="2" eb="3">
      <t>カ</t>
    </rPh>
    <rPh sb="3" eb="4">
      <t>テイ</t>
    </rPh>
    <rPh sb="5" eb="7">
      <t>ジョウメン</t>
    </rPh>
    <rPh sb="8" eb="9">
      <t>ナガ</t>
    </rPh>
    <phoneticPr fontId="2"/>
  </si>
  <si>
    <t>←ろ過堤最終面積</t>
    <rPh sb="2" eb="3">
      <t>カ</t>
    </rPh>
    <rPh sb="3" eb="4">
      <t>テイ</t>
    </rPh>
    <rPh sb="4" eb="6">
      <t>サイシュウ</t>
    </rPh>
    <rPh sb="6" eb="8">
      <t>メンセキ</t>
    </rPh>
    <phoneticPr fontId="2"/>
  </si>
  <si>
    <t>２．雨水調節容量  （Ｖ1）</t>
    <rPh sb="2" eb="4">
      <t>ウスイ</t>
    </rPh>
    <rPh sb="4" eb="6">
      <t>チョウセツ</t>
    </rPh>
    <rPh sb="6" eb="8">
      <t>ヨウリョウ</t>
    </rPh>
    <phoneticPr fontId="2"/>
  </si>
  <si>
    <t>雨水調節容量は下式で求める。</t>
    <rPh sb="0" eb="2">
      <t>ウスイ</t>
    </rPh>
    <rPh sb="2" eb="4">
      <t>チョウセツ</t>
    </rPh>
    <rPh sb="4" eb="6">
      <t>ヨウリョウ</t>
    </rPh>
    <rPh sb="7" eb="8">
      <t>シタ</t>
    </rPh>
    <rPh sb="8" eb="9">
      <t>シキ</t>
    </rPh>
    <rPh sb="10" eb="11">
      <t>モト</t>
    </rPh>
    <phoneticPr fontId="2"/>
  </si>
  <si>
    <r>
      <t>Ｖ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＝（ri－ｋ・rc）・60・ti・ｆ・A・</t>
    </r>
    <phoneticPr fontId="2"/>
  </si>
  <si>
    <t>ここに、</t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</si>
  <si>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：</t>
    </r>
    <phoneticPr fontId="2"/>
  </si>
  <si>
    <t>雨水調節容量（㎥）</t>
    <rPh sb="0" eb="2">
      <t>ウスイ</t>
    </rPh>
    <rPh sb="2" eb="4">
      <t>チョウセツ</t>
    </rPh>
    <rPh sb="4" eb="6">
      <t>ヨウリョウ</t>
    </rPh>
    <phoneticPr fontId="2"/>
  </si>
  <si>
    <t>ri：</t>
    <phoneticPr fontId="2"/>
  </si>
  <si>
    <t>降雨強度曲線上の任意継続時間相当降雨強度（mm/hr）</t>
    <rPh sb="0" eb="2">
      <t>コウウ</t>
    </rPh>
    <rPh sb="2" eb="4">
      <t>キョウド</t>
    </rPh>
    <rPh sb="4" eb="7">
      <t>キョクセンジョウ</t>
    </rPh>
    <rPh sb="8" eb="10">
      <t>ニンイ</t>
    </rPh>
    <rPh sb="10" eb="12">
      <t>ケイゾク</t>
    </rPh>
    <rPh sb="12" eb="14">
      <t>ジカン</t>
    </rPh>
    <rPh sb="14" eb="16">
      <t>ソウトウ</t>
    </rPh>
    <rPh sb="16" eb="18">
      <t>コウウ</t>
    </rPh>
    <rPh sb="18" eb="20">
      <t>キョウド</t>
    </rPh>
    <phoneticPr fontId="2"/>
  </si>
  <si>
    <t>（ri＝</t>
    <phoneticPr fontId="2"/>
  </si>
  <si>
    <t>a</t>
    <phoneticPr fontId="2"/>
  </si>
  <si>
    <t>）</t>
    <phoneticPr fontId="2"/>
  </si>
  <si>
    <r>
      <t>ti</t>
    </r>
    <r>
      <rPr>
        <vertAlign val="superscript"/>
        <sz val="11"/>
        <rFont val="ＭＳ Ｐゴシック"/>
        <family val="3"/>
        <charset val="128"/>
      </rPr>
      <t>ｎ</t>
    </r>
    <r>
      <rPr>
        <sz val="11"/>
        <rFont val="ＭＳ Ｐゴシック"/>
        <family val="3"/>
        <charset val="128"/>
      </rPr>
      <t>＋ｂ</t>
    </r>
    <phoneticPr fontId="2"/>
  </si>
  <si>
    <t>rc：</t>
    <phoneticPr fontId="2"/>
  </si>
  <si>
    <t>放流量 Qc に相当する降雨強度（mm/hr）</t>
    <rPh sb="0" eb="2">
      <t>ホウリュウ</t>
    </rPh>
    <rPh sb="2" eb="3">
      <t>リョウ</t>
    </rPh>
    <rPh sb="8" eb="10">
      <t>ソウトウ</t>
    </rPh>
    <rPh sb="12" eb="14">
      <t>コウウ</t>
    </rPh>
    <rPh sb="14" eb="16">
      <t>キョウド</t>
    </rPh>
    <phoneticPr fontId="2"/>
  </si>
  <si>
    <t>（rc＝</t>
    <phoneticPr fontId="2"/>
  </si>
  <si>
    <t>360・Qc</t>
    <phoneticPr fontId="2"/>
  </si>
  <si>
    <t>）</t>
    <phoneticPr fontId="2"/>
  </si>
  <si>
    <t>f・A</t>
    <phoneticPr fontId="2"/>
  </si>
  <si>
    <t>ｋ：</t>
    <phoneticPr fontId="2"/>
  </si>
  <si>
    <t>処理方式によって定まる係数 （0～1の範囲  ろ過処理 0.5）</t>
    <rPh sb="0" eb="2">
      <t>ショリ</t>
    </rPh>
    <rPh sb="2" eb="4">
      <t>ホウシキ</t>
    </rPh>
    <rPh sb="8" eb="9">
      <t>サダ</t>
    </rPh>
    <rPh sb="11" eb="13">
      <t>ケイスウ</t>
    </rPh>
    <rPh sb="19" eb="21">
      <t>ハンイ</t>
    </rPh>
    <rPh sb="24" eb="25">
      <t>カ</t>
    </rPh>
    <rPh sb="25" eb="27">
      <t>ショリ</t>
    </rPh>
    <phoneticPr fontId="2"/>
  </si>
  <si>
    <t>降雨継続時間 （分）</t>
    <rPh sb="0" eb="2">
      <t>コウウ</t>
    </rPh>
    <rPh sb="2" eb="4">
      <t>ケイゾク</t>
    </rPh>
    <rPh sb="4" eb="6">
      <t>ジカン</t>
    </rPh>
    <rPh sb="8" eb="9">
      <t>フン</t>
    </rPh>
    <phoneticPr fontId="2"/>
  </si>
  <si>
    <t>ｆ：</t>
    <phoneticPr fontId="2"/>
  </si>
  <si>
    <t>A：</t>
    <phoneticPr fontId="2"/>
  </si>
  <si>
    <t>集水面積 （ha）</t>
    <rPh sb="0" eb="1">
      <t>シュウ</t>
    </rPh>
    <rPh sb="1" eb="2">
      <t>ミズ</t>
    </rPh>
    <rPh sb="2" eb="4">
      <t>メンセキ</t>
    </rPh>
    <phoneticPr fontId="2"/>
  </si>
  <si>
    <t>１）放流量 （Qc） に相当する降雨強度 rc （mm/hr）</t>
    <rPh sb="2" eb="4">
      <t>ホウリュウ</t>
    </rPh>
    <rPh sb="4" eb="5">
      <t>リョウ</t>
    </rPh>
    <rPh sb="12" eb="14">
      <t>ソウトウ</t>
    </rPh>
    <rPh sb="16" eb="18">
      <t>コウウ</t>
    </rPh>
    <rPh sb="18" eb="20">
      <t>キョウド</t>
    </rPh>
    <phoneticPr fontId="2"/>
  </si>
  <si>
    <t>rc＝</t>
    <phoneticPr fontId="2"/>
  </si>
  <si>
    <t>ｆ・Ａ</t>
    <phoneticPr fontId="2"/>
  </si>
  <si>
    <t>×</t>
    <phoneticPr fontId="2"/>
  </si>
  <si>
    <t>＝</t>
    <phoneticPr fontId="2"/>
  </si>
  <si>
    <t>（mm/hr）</t>
    <phoneticPr fontId="2"/>
  </si>
  <si>
    <t>２）降雨継続時間 （ti）</t>
    <rPh sb="2" eb="4">
      <t>コウウ</t>
    </rPh>
    <rPh sb="4" eb="6">
      <t>ケイゾク</t>
    </rPh>
    <rPh sb="6" eb="8">
      <t>ジカン</t>
    </rPh>
    <phoneticPr fontId="2"/>
  </si>
  <si>
    <t>降雨継続時間 ti は下記の方程式のXより求める。</t>
    <rPh sb="0" eb="2">
      <t>コウウ</t>
    </rPh>
    <rPh sb="2" eb="4">
      <t>ケイゾク</t>
    </rPh>
    <rPh sb="4" eb="6">
      <t>ジカン</t>
    </rPh>
    <rPh sb="11" eb="13">
      <t>カキ</t>
    </rPh>
    <rPh sb="14" eb="17">
      <t>ホウテイシキ</t>
    </rPh>
    <rPh sb="21" eb="22">
      <t>モト</t>
    </rPh>
    <phoneticPr fontId="2"/>
  </si>
  <si>
    <t>ここで、</t>
    <phoneticPr fontId="2"/>
  </si>
  <si>
    <t>X＝</t>
    <phoneticPr fontId="2"/>
  </si>
  <si>
    <t>ti であり n＝ 1 とおけば</t>
    <phoneticPr fontId="2"/>
  </si>
  <si>
    <t>ti となる。</t>
  </si>
  <si>
    <t>ｋ・ｒｃ・X2＋｛2・ｋ・ｒｃ・ｂ＋ａ（ｎ－1）｝・Ｘ＋ｂ・（ｋ・ｒｃ・ｂ－ａ） ＝ 0</t>
    <phoneticPr fontId="2"/>
  </si>
  <si>
    <t>上記式のＸを根の方程式により求め ti とする。</t>
  </si>
  <si>
    <t>各項の係数を第１項より</t>
    <rPh sb="0" eb="2">
      <t>カクコウ</t>
    </rPh>
    <rPh sb="3" eb="5">
      <t>ケイスウ</t>
    </rPh>
    <rPh sb="6" eb="7">
      <t>ダイ</t>
    </rPh>
    <rPh sb="8" eb="9">
      <t>コウ</t>
    </rPh>
    <phoneticPr fontId="2"/>
  </si>
  <si>
    <t>Ａ，Ｂ，Ｃ とする。</t>
    <phoneticPr fontId="2"/>
  </si>
  <si>
    <t>Ａ＝</t>
    <phoneticPr fontId="2"/>
  </si>
  <si>
    <t>ｋ・ｒｃ</t>
    <phoneticPr fontId="2"/>
  </si>
  <si>
    <t>Ｂ＝</t>
    <phoneticPr fontId="2"/>
  </si>
  <si>
    <t>2・ｋ・ｒｃ・ｂ</t>
    <phoneticPr fontId="2"/>
  </si>
  <si>
    <t>Ｃ＝</t>
    <phoneticPr fontId="2"/>
  </si>
  <si>
    <t>ｂ・（ｋ・ｒｃ・ｂ－ａ）</t>
    <phoneticPr fontId="2"/>
  </si>
  <si>
    <t>ｒｃ＝</t>
    <phoneticPr fontId="2"/>
  </si>
  <si>
    <t>ａ＝</t>
    <phoneticPr fontId="2"/>
  </si>
  <si>
    <t>ｂ＝</t>
    <phoneticPr fontId="2"/>
  </si>
  <si>
    <t>ｋ＝</t>
    <phoneticPr fontId="2"/>
  </si>
  <si>
    <t>1/2 （ろ過・沈殿方式の場合）</t>
    <rPh sb="6" eb="7">
      <t>カ</t>
    </rPh>
    <rPh sb="8" eb="10">
      <t>チンデン</t>
    </rPh>
    <rPh sb="10" eb="12">
      <t>ホウシキ</t>
    </rPh>
    <rPh sb="13" eb="15">
      <t>バアイ</t>
    </rPh>
    <phoneticPr fontId="2"/>
  </si>
  <si>
    <t>A＝</t>
    <phoneticPr fontId="2"/>
  </si>
  <si>
    <t>＝</t>
    <phoneticPr fontId="2"/>
  </si>
  <si>
    <t>B＝</t>
    <phoneticPr fontId="2"/>
  </si>
  <si>
    <t>×</t>
    <phoneticPr fontId="2"/>
  </si>
  <si>
    <t>C＝</t>
    <phoneticPr fontId="2"/>
  </si>
  <si>
    <t>×（</t>
    <phoneticPr fontId="2"/>
  </si>
  <si>
    <t>根の方程式よりＸは</t>
    <rPh sb="0" eb="1">
      <t>コン</t>
    </rPh>
    <rPh sb="2" eb="5">
      <t>ホウテイシキ</t>
    </rPh>
    <phoneticPr fontId="2"/>
  </si>
  <si>
    <t>Ｘ＝</t>
    <phoneticPr fontId="2"/>
  </si>
  <si>
    <t>2A</t>
    <phoneticPr fontId="2"/>
  </si>
  <si>
    <t>ｔｉ＝</t>
    <phoneticPr fontId="2"/>
  </si>
  <si>
    <t>（min）  （</t>
    <phoneticPr fontId="2"/>
  </si>
  <si>
    <t>時間）</t>
    <rPh sb="0" eb="2">
      <t>ジカン</t>
    </rPh>
    <phoneticPr fontId="2"/>
  </si>
  <si>
    <t>３）雨水調整容量 （V1）</t>
    <rPh sb="2" eb="4">
      <t>ウスイ</t>
    </rPh>
    <rPh sb="4" eb="6">
      <t>チョウセイ</t>
    </rPh>
    <rPh sb="6" eb="8">
      <t>ヨウリョウ</t>
    </rPh>
    <phoneticPr fontId="2"/>
  </si>
  <si>
    <t>ri＝</t>
    <phoneticPr fontId="2"/>
  </si>
  <si>
    <t>＝</t>
    <phoneticPr fontId="2"/>
  </si>
  <si>
    <t>（mm/hr）</t>
    <phoneticPr fontId="2"/>
  </si>
  <si>
    <t>ti+</t>
    <phoneticPr fontId="2"/>
  </si>
  <si>
    <t>rc＝</t>
    <phoneticPr fontId="2"/>
  </si>
  <si>
    <t>ti＝</t>
    <phoneticPr fontId="2"/>
  </si>
  <si>
    <t>（min）</t>
    <phoneticPr fontId="2"/>
  </si>
  <si>
    <t>f＝</t>
    <phoneticPr fontId="2"/>
  </si>
  <si>
    <t>Ａ＝</t>
    <phoneticPr fontId="2"/>
  </si>
  <si>
    <t>（ha）</t>
    <phoneticPr fontId="2"/>
  </si>
  <si>
    <r>
      <t>V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</t>
    </r>
    <phoneticPr fontId="2"/>
  </si>
  <si>
    <t>－</t>
    <phoneticPr fontId="2"/>
  </si>
  <si>
    <t>）×</t>
    <phoneticPr fontId="2"/>
  </si>
  <si>
    <t>×</t>
    <phoneticPr fontId="2"/>
  </si>
  <si>
    <r>
      <t>Ｖ</t>
    </r>
    <r>
      <rPr>
        <vertAlign val="subscript"/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＝</t>
    </r>
    <phoneticPr fontId="2"/>
  </si>
  <si>
    <t>（㎥）</t>
    <phoneticPr fontId="2"/>
  </si>
  <si>
    <t>３．濁水貯留工必要容量 （Ｖ）</t>
    <rPh sb="2" eb="4">
      <t>ダクスイ</t>
    </rPh>
    <rPh sb="4" eb="6">
      <t>チョリュウ</t>
    </rPh>
    <rPh sb="6" eb="7">
      <t>コウ</t>
    </rPh>
    <rPh sb="7" eb="9">
      <t>ヒツヨウ</t>
    </rPh>
    <rPh sb="9" eb="11">
      <t>ヨウリョウ</t>
    </rPh>
    <phoneticPr fontId="2"/>
  </si>
  <si>
    <t>＝</t>
    <phoneticPr fontId="2"/>
  </si>
  <si>
    <r>
      <t>・Ｖ</t>
    </r>
    <r>
      <rPr>
        <vertAlign val="subscript"/>
        <sz val="11"/>
        <rFont val="ＭＳ Ｐゴシック"/>
        <family val="3"/>
        <charset val="128"/>
      </rPr>
      <t>1</t>
    </r>
    <phoneticPr fontId="2"/>
  </si>
  <si>
    <t>×</t>
    <phoneticPr fontId="2"/>
  </si>
  <si>
    <t>≒</t>
    <phoneticPr fontId="2"/>
  </si>
  <si>
    <t>㎥</t>
    <rPh sb="0" eb="1">
      <t>リッポウメートル</t>
    </rPh>
    <phoneticPr fontId="2"/>
  </si>
  <si>
    <t>Ｖ</t>
    <phoneticPr fontId="2"/>
  </si>
  <si>
    <t>÷</t>
    <phoneticPr fontId="2"/>
  </si>
  <si>
    <t>＝</t>
    <phoneticPr fontId="2"/>
  </si>
  <si>
    <t>（㎡）</t>
    <phoneticPr fontId="2"/>
  </si>
  <si>
    <t>（ｍ）</t>
    <phoneticPr fontId="2"/>
  </si>
  <si>
    <t>Ｂ1</t>
    <phoneticPr fontId="2"/>
  </si>
  <si>
    <t>Ｂ2</t>
    <phoneticPr fontId="2"/>
  </si>
  <si>
    <t>Ｌ1</t>
    <phoneticPr fontId="2"/>
  </si>
  <si>
    <t>Ｌ2</t>
    <phoneticPr fontId="2"/>
  </si>
  <si>
    <t>沈殿池容量</t>
    <rPh sb="0" eb="2">
      <t>チンデン</t>
    </rPh>
    <rPh sb="2" eb="3">
      <t>チ</t>
    </rPh>
    <rPh sb="3" eb="5">
      <t>ヨウリョウ</t>
    </rPh>
    <phoneticPr fontId="2"/>
  </si>
  <si>
    <t>平均長さ</t>
    <rPh sb="0" eb="2">
      <t>ヘイキン</t>
    </rPh>
    <rPh sb="2" eb="3">
      <t>ナガ</t>
    </rPh>
    <phoneticPr fontId="2"/>
  </si>
  <si>
    <t>V</t>
    <phoneticPr fontId="2"/>
  </si>
  <si>
    <t>＊参考までに、沈澱池の設定について（正方形型）</t>
    <rPh sb="1" eb="3">
      <t>サンコウ</t>
    </rPh>
    <rPh sb="7" eb="10">
      <t>チンデンチ</t>
    </rPh>
    <rPh sb="11" eb="13">
      <t>セッテイ</t>
    </rPh>
    <rPh sb="18" eb="21">
      <t>セイホウケイ</t>
    </rPh>
    <rPh sb="21" eb="22">
      <t>ガタ</t>
    </rPh>
    <phoneticPr fontId="2"/>
  </si>
  <si>
    <t>㎥</t>
    <phoneticPr fontId="2"/>
  </si>
  <si>
    <t>←ろ過砂厚</t>
    <rPh sb="2" eb="3">
      <t>カ</t>
    </rPh>
    <rPh sb="3" eb="4">
      <t>サ</t>
    </rPh>
    <rPh sb="4" eb="5">
      <t>アツ</t>
    </rPh>
    <phoneticPr fontId="2"/>
  </si>
  <si>
    <t>(＊凝集沈澱池の場合は1.0）</t>
    <rPh sb="2" eb="4">
      <t>ギョウシュウ</t>
    </rPh>
    <rPh sb="4" eb="7">
      <t>チンデンチ</t>
    </rPh>
    <rPh sb="8" eb="10">
      <t>バアイ</t>
    </rPh>
    <phoneticPr fontId="2"/>
  </si>
  <si>
    <t>㎥</t>
    <phoneticPr fontId="2"/>
  </si>
  <si>
    <t>注）</t>
    <rPh sb="0" eb="1">
      <t>チュウ</t>
    </rPh>
    <phoneticPr fontId="2"/>
  </si>
  <si>
    <t>　濁水処理水量（Qｃ）は、プラント設備の能力に応じて決定する。</t>
    <rPh sb="1" eb="3">
      <t>ダクスイ</t>
    </rPh>
    <rPh sb="3" eb="5">
      <t>ショリ</t>
    </rPh>
    <rPh sb="5" eb="7">
      <t>スイリョウ</t>
    </rPh>
    <rPh sb="17" eb="19">
      <t>セツビ</t>
    </rPh>
    <rPh sb="20" eb="22">
      <t>ノウリョク</t>
    </rPh>
    <rPh sb="23" eb="24">
      <t>オウ</t>
    </rPh>
    <rPh sb="26" eb="28">
      <t>ケッテイ</t>
    </rPh>
    <phoneticPr fontId="2"/>
  </si>
  <si>
    <t>1.0　（凝集沈澱方式の場合）</t>
    <rPh sb="5" eb="7">
      <t>ギョウシュウ</t>
    </rPh>
    <rPh sb="7" eb="9">
      <t>チンデン</t>
    </rPh>
    <rPh sb="9" eb="11">
      <t>ホウシキ</t>
    </rPh>
    <rPh sb="12" eb="14">
      <t>バアイ</t>
    </rPh>
    <phoneticPr fontId="2"/>
  </si>
  <si>
    <t>（㎥/sec）</t>
    <phoneticPr fontId="2"/>
  </si>
  <si>
    <t>ti：</t>
    <phoneticPr fontId="2"/>
  </si>
  <si>
    <t>A＝</t>
    <phoneticPr fontId="2"/>
  </si>
  <si>
    <t>B＝</t>
    <phoneticPr fontId="2"/>
  </si>
  <si>
    <t>×</t>
    <phoneticPr fontId="2"/>
  </si>
  <si>
    <t>＝</t>
    <phoneticPr fontId="2"/>
  </si>
  <si>
    <t>C＝</t>
    <phoneticPr fontId="2"/>
  </si>
  <si>
    <t>×（</t>
    <phoneticPr fontId="2"/>
  </si>
  <si>
    <r>
      <t>－Ｂ±　　Ｂ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－4ＡＣ</t>
    </r>
    <phoneticPr fontId="2"/>
  </si>
  <si>
    <t>Ｈ</t>
    <phoneticPr fontId="2"/>
  </si>
  <si>
    <t>Ｖ</t>
    <phoneticPr fontId="2"/>
  </si>
  <si>
    <t>÷</t>
    <phoneticPr fontId="2"/>
  </si>
  <si>
    <t>＝</t>
    <phoneticPr fontId="2"/>
  </si>
  <si>
    <t>（㎡）</t>
    <phoneticPr fontId="2"/>
  </si>
  <si>
    <t>（ｍ）</t>
    <phoneticPr fontId="2"/>
  </si>
  <si>
    <t>Ｂ1</t>
    <phoneticPr fontId="2"/>
  </si>
  <si>
    <t>Ｂ2</t>
    <phoneticPr fontId="2"/>
  </si>
  <si>
    <t>Ｌ1</t>
    <phoneticPr fontId="2"/>
  </si>
  <si>
    <t>Ｌ2</t>
    <phoneticPr fontId="2"/>
  </si>
  <si>
    <t>Ｖ(㎥)</t>
    <phoneticPr fontId="4"/>
  </si>
  <si>
    <t>Ａ（㎡）</t>
    <phoneticPr fontId="4"/>
  </si>
  <si>
    <t>自然沈澱池</t>
    <rPh sb="0" eb="2">
      <t>シゼン</t>
    </rPh>
    <rPh sb="2" eb="5">
      <t>チンデンチ</t>
    </rPh>
    <phoneticPr fontId="2"/>
  </si>
  <si>
    <t>浸透池</t>
    <rPh sb="0" eb="2">
      <t>シントウ</t>
    </rPh>
    <rPh sb="2" eb="3">
      <t>イケ</t>
    </rPh>
    <phoneticPr fontId="2"/>
  </si>
  <si>
    <t>（国頭マージ・ジャーガル・クチャ・その他）</t>
    <rPh sb="1" eb="3">
      <t>クニガミ</t>
    </rPh>
    <rPh sb="19" eb="20">
      <t>ホカ</t>
    </rPh>
    <phoneticPr fontId="2"/>
  </si>
  <si>
    <t>（島尻マージ・石灰岩・れき層・砂層など）</t>
    <rPh sb="1" eb="3">
      <t>シマジリ</t>
    </rPh>
    <rPh sb="7" eb="10">
      <t>セッカイガン</t>
    </rPh>
    <rPh sb="13" eb="14">
      <t>ソウ</t>
    </rPh>
    <rPh sb="15" eb="16">
      <t>サ</t>
    </rPh>
    <rPh sb="16" eb="17">
      <t>ソウ</t>
    </rPh>
    <phoneticPr fontId="2"/>
  </si>
  <si>
    <t>Ｂ×Ｌ　＝</t>
    <phoneticPr fontId="2"/>
  </si>
  <si>
    <t>Ｂ×Ｌ</t>
    <phoneticPr fontId="2"/>
  </si>
  <si>
    <t>※　土地改良事業等における赤土等流出防止対策設計指針より（沖縄県農林水産部）</t>
    <rPh sb="2" eb="4">
      <t>トチ</t>
    </rPh>
    <rPh sb="4" eb="6">
      <t>カイリョウ</t>
    </rPh>
    <rPh sb="6" eb="8">
      <t>ジギョウ</t>
    </rPh>
    <rPh sb="8" eb="9">
      <t>トウ</t>
    </rPh>
    <rPh sb="13" eb="16">
      <t>アカツチトウ</t>
    </rPh>
    <rPh sb="16" eb="18">
      <t>リュウシュツ</t>
    </rPh>
    <rPh sb="18" eb="20">
      <t>ボウシ</t>
    </rPh>
    <rPh sb="20" eb="22">
      <t>タイサク</t>
    </rPh>
    <rPh sb="22" eb="24">
      <t>セッケイ</t>
    </rPh>
    <rPh sb="24" eb="26">
      <t>シシン</t>
    </rPh>
    <rPh sb="29" eb="32">
      <t>オキナワケン</t>
    </rPh>
    <rPh sb="32" eb="34">
      <t>ノウリン</t>
    </rPh>
    <rPh sb="34" eb="37">
      <t>スイサンブ</t>
    </rPh>
    <phoneticPr fontId="2"/>
  </si>
  <si>
    <t>自然沈澱池の設定について（正方形型）</t>
    <rPh sb="0" eb="2">
      <t>シゼン</t>
    </rPh>
    <rPh sb="2" eb="5">
      <t>チンデンチ</t>
    </rPh>
    <rPh sb="6" eb="8">
      <t>セッテイ</t>
    </rPh>
    <rPh sb="13" eb="16">
      <t>セイホウケイ</t>
    </rPh>
    <rPh sb="16" eb="17">
      <t>ガタ</t>
    </rPh>
    <phoneticPr fontId="2"/>
  </si>
  <si>
    <t>参考</t>
    <rPh sb="0" eb="2">
      <t>サンコウ</t>
    </rPh>
    <phoneticPr fontId="2"/>
  </si>
  <si>
    <t>必要容量※</t>
    <rPh sb="0" eb="2">
      <t>ヒツヨウ</t>
    </rPh>
    <rPh sb="2" eb="4">
      <t>ヨウリョウ</t>
    </rPh>
    <phoneticPr fontId="4"/>
  </si>
  <si>
    <t>＝</t>
    <phoneticPr fontId="2"/>
  </si>
  <si>
    <t>=</t>
    <phoneticPr fontId="2"/>
  </si>
  <si>
    <t>集水面積×0.15</t>
    <phoneticPr fontId="2"/>
  </si>
  <si>
    <t>V =</t>
    <phoneticPr fontId="2"/>
  </si>
  <si>
    <t>集水面積×0.023</t>
    <phoneticPr fontId="2"/>
  </si>
  <si>
    <t>Ｈ（深さ）</t>
    <rPh sb="2" eb="3">
      <t>フカ</t>
    </rPh>
    <phoneticPr fontId="2"/>
  </si>
  <si>
    <t>＝</t>
    <phoneticPr fontId="2"/>
  </si>
  <si>
    <t>沈砂池の幅（上面）</t>
    <rPh sb="0" eb="3">
      <t>チンサチ</t>
    </rPh>
    <rPh sb="4" eb="5">
      <t>ハバ</t>
    </rPh>
    <rPh sb="6" eb="8">
      <t>ジョウメン</t>
    </rPh>
    <phoneticPr fontId="2"/>
  </si>
  <si>
    <t>沈砂池の深さ</t>
    <rPh sb="0" eb="3">
      <t>チンサチ</t>
    </rPh>
    <rPh sb="4" eb="5">
      <t>フカ</t>
    </rPh>
    <phoneticPr fontId="2"/>
  </si>
  <si>
    <t>＝</t>
    <phoneticPr fontId="2"/>
  </si>
  <si>
    <t>Ｂ×Ｌ</t>
  </si>
  <si>
    <t>ｆ</t>
  </si>
  <si>
    <t>Ｑｃ</t>
  </si>
  <si>
    <t>ろ過水量</t>
    <rPh sb="0" eb="2">
      <t>ロカ</t>
    </rPh>
    <rPh sb="2" eb="4">
      <t>スイリョウ</t>
    </rPh>
    <phoneticPr fontId="4"/>
  </si>
  <si>
    <t>透水能</t>
    <rPh sb="0" eb="2">
      <t>トウスイ</t>
    </rPh>
    <rPh sb="2" eb="3">
      <t>ノウ</t>
    </rPh>
    <phoneticPr fontId="4"/>
  </si>
  <si>
    <t>ろ過砂の
透水係数</t>
    <rPh sb="0" eb="2">
      <t>ロカ</t>
    </rPh>
    <rPh sb="2" eb="3">
      <t>スナ</t>
    </rPh>
    <rPh sb="5" eb="7">
      <t>トウスイ</t>
    </rPh>
    <rPh sb="7" eb="9">
      <t>ケイスウ</t>
    </rPh>
    <phoneticPr fontId="4"/>
  </si>
  <si>
    <t>ろ過砂厚</t>
    <rPh sb="0" eb="2">
      <t>ロカ</t>
    </rPh>
    <rPh sb="2" eb="3">
      <t>スナ</t>
    </rPh>
    <rPh sb="3" eb="4">
      <t>アツ</t>
    </rPh>
    <phoneticPr fontId="4"/>
  </si>
  <si>
    <t>堤高</t>
    <rPh sb="0" eb="1">
      <t>テイ</t>
    </rPh>
    <rPh sb="1" eb="2">
      <t>コウ</t>
    </rPh>
    <phoneticPr fontId="4"/>
  </si>
  <si>
    <t>放流管高</t>
    <rPh sb="0" eb="2">
      <t>ホウリュウ</t>
    </rPh>
    <rPh sb="2" eb="3">
      <t>カン</t>
    </rPh>
    <rPh sb="3" eb="4">
      <t>タカ</t>
    </rPh>
    <phoneticPr fontId="4"/>
  </si>
  <si>
    <t>ろ過砂の
透過面積</t>
    <rPh sb="0" eb="2">
      <t>ロカ</t>
    </rPh>
    <rPh sb="2" eb="3">
      <t>スナ</t>
    </rPh>
    <rPh sb="5" eb="7">
      <t>トウカ</t>
    </rPh>
    <rPh sb="7" eb="9">
      <t>メンセキ</t>
    </rPh>
    <phoneticPr fontId="4"/>
  </si>
  <si>
    <t>雨水貯留用量</t>
    <rPh sb="0" eb="2">
      <t>ウスイ</t>
    </rPh>
    <rPh sb="2" eb="4">
      <t>チョリュウ</t>
    </rPh>
    <rPh sb="4" eb="5">
      <t>チョウセツヨウ</t>
    </rPh>
    <rPh sb="5" eb="6">
      <t>リョウ</t>
    </rPh>
    <phoneticPr fontId="4"/>
  </si>
  <si>
    <t>濁水貯留容量</t>
    <rPh sb="0" eb="2">
      <t>ダクスイ</t>
    </rPh>
    <rPh sb="2" eb="4">
      <t>チョリュウ</t>
    </rPh>
    <rPh sb="4" eb="6">
      <t>ヨウリョウ</t>
    </rPh>
    <phoneticPr fontId="4"/>
  </si>
  <si>
    <t>Ｑｃ
(㎥/sec)</t>
    <phoneticPr fontId="4"/>
  </si>
  <si>
    <t>Ｑｃo
(㎥/sec/㎡)</t>
    <phoneticPr fontId="4"/>
  </si>
  <si>
    <t>ｋ(ｃｍ/sec)</t>
    <phoneticPr fontId="4"/>
  </si>
  <si>
    <t>ｌ（ｍ）</t>
    <phoneticPr fontId="4"/>
  </si>
  <si>
    <t>Ｈ（ｍ）</t>
    <phoneticPr fontId="4"/>
  </si>
  <si>
    <t>Ａ（㎡)</t>
    <phoneticPr fontId="4"/>
  </si>
  <si>
    <t>V1</t>
    <phoneticPr fontId="4"/>
  </si>
  <si>
    <t>V</t>
    <phoneticPr fontId="4"/>
  </si>
  <si>
    <t>降雨継続時間</t>
    <rPh sb="0" eb="2">
      <t>コウウ</t>
    </rPh>
    <rPh sb="2" eb="4">
      <t>ケイゾク</t>
    </rPh>
    <rPh sb="4" eb="6">
      <t>ジカン</t>
    </rPh>
    <phoneticPr fontId="4"/>
  </si>
  <si>
    <t>処理放流量に相当する降雨強度</t>
    <rPh sb="0" eb="2">
      <t>ショリ</t>
    </rPh>
    <rPh sb="2" eb="5">
      <t>ホウリュウリョウ</t>
    </rPh>
    <rPh sb="6" eb="8">
      <t>ソウトウ</t>
    </rPh>
    <rPh sb="10" eb="12">
      <t>コウウ</t>
    </rPh>
    <rPh sb="12" eb="14">
      <t>キョウド</t>
    </rPh>
    <phoneticPr fontId="4"/>
  </si>
  <si>
    <t>流出係数</t>
    <rPh sb="0" eb="2">
      <t>リュウシュツ</t>
    </rPh>
    <rPh sb="2" eb="4">
      <t>ケイスウ</t>
    </rPh>
    <phoneticPr fontId="4"/>
  </si>
  <si>
    <t>放流方式による係数</t>
    <rPh sb="0" eb="2">
      <t>ホウリュウ</t>
    </rPh>
    <rPh sb="2" eb="4">
      <t>ホウシキ</t>
    </rPh>
    <rPh sb="7" eb="9">
      <t>ケイスウ</t>
    </rPh>
    <phoneticPr fontId="4"/>
  </si>
  <si>
    <t>(ｔｉ)</t>
    <phoneticPr fontId="4"/>
  </si>
  <si>
    <t>ｔｉ</t>
    <phoneticPr fontId="4"/>
  </si>
  <si>
    <t>ｒｉ</t>
    <phoneticPr fontId="4"/>
  </si>
  <si>
    <t>ｒｃ(mm/hr)</t>
    <phoneticPr fontId="4"/>
  </si>
  <si>
    <t>A</t>
    <phoneticPr fontId="4"/>
  </si>
  <si>
    <t>B</t>
    <phoneticPr fontId="4"/>
  </si>
  <si>
    <t>C</t>
    <phoneticPr fontId="4"/>
  </si>
  <si>
    <t>ｋ</t>
    <phoneticPr fontId="4"/>
  </si>
  <si>
    <t>濁水処理水量</t>
    <rPh sb="0" eb="2">
      <t>ダクスイ</t>
    </rPh>
    <rPh sb="2" eb="4">
      <t>ショリ</t>
    </rPh>
    <rPh sb="4" eb="6">
      <t>スイリョウ</t>
    </rPh>
    <phoneticPr fontId="4"/>
  </si>
  <si>
    <t>Ａ(ha)</t>
    <phoneticPr fontId="4"/>
  </si>
  <si>
    <t>1.1Ｖ(㎥)</t>
    <phoneticPr fontId="4"/>
  </si>
  <si>
    <t>ろ過沈殿池</t>
    <rPh sb="1" eb="2">
      <t>カ</t>
    </rPh>
    <rPh sb="2" eb="4">
      <t>チンデン</t>
    </rPh>
    <rPh sb="4" eb="5">
      <t>イケ</t>
    </rPh>
    <phoneticPr fontId="2"/>
  </si>
  <si>
    <t>凝集沈澱式の場合</t>
  </si>
  <si>
    <r>
      <t>※← Qcには装置の能力を記入して下さい（m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/sec）</t>
    </r>
    <phoneticPr fontId="2"/>
  </si>
  <si>
    <t>凝集処理式</t>
    <rPh sb="0" eb="2">
      <t>ギョウシュウ</t>
    </rPh>
    <rPh sb="2" eb="4">
      <t>ショリ</t>
    </rPh>
    <rPh sb="4" eb="5">
      <t>シキ</t>
    </rPh>
    <phoneticPr fontId="2"/>
  </si>
  <si>
    <t>（手入力）</t>
    <rPh sb="1" eb="2">
      <t>テ</t>
    </rPh>
    <rPh sb="2" eb="4">
      <t>ニュウリョク</t>
    </rPh>
    <phoneticPr fontId="2"/>
  </si>
  <si>
    <t>L =</t>
    <phoneticPr fontId="2"/>
  </si>
  <si>
    <t>ti+</t>
    <phoneticPr fontId="2"/>
  </si>
  <si>
    <t>(↓沈澱池法面勾配を１：１で計算した場合）</t>
    <rPh sb="2" eb="5">
      <t>チンデンチ</t>
    </rPh>
    <rPh sb="5" eb="7">
      <t>ノリメン</t>
    </rPh>
    <rPh sb="7" eb="9">
      <t>コウバイ</t>
    </rPh>
    <rPh sb="14" eb="16">
      <t>ケイサン</t>
    </rPh>
    <rPh sb="18" eb="20">
      <t>バアイ</t>
    </rPh>
    <phoneticPr fontId="2"/>
  </si>
  <si>
    <t>－</t>
    <phoneticPr fontId="2"/>
  </si>
  <si>
    <t>）＝</t>
    <phoneticPr fontId="2"/>
  </si>
  <si>
    <t>*ti≦120の場合は、ti=120として算定するものとする（赤土等流出防止対策技術指針（案）,p110）</t>
    <rPh sb="8" eb="10">
      <t>バアイ</t>
    </rPh>
    <rPh sb="21" eb="23">
      <t>サンテイ</t>
    </rPh>
    <rPh sb="31" eb="34">
      <t>アカツチトウ</t>
    </rPh>
    <rPh sb="34" eb="36">
      <t>リュウシュツ</t>
    </rPh>
    <rPh sb="36" eb="38">
      <t>ボウシ</t>
    </rPh>
    <rPh sb="38" eb="40">
      <t>タイサク</t>
    </rPh>
    <rPh sb="40" eb="42">
      <t>ギジュツ</t>
    </rPh>
    <rPh sb="42" eb="44">
      <t>シシン</t>
    </rPh>
    <rPh sb="45" eb="46">
      <t>アン</t>
    </rPh>
    <phoneticPr fontId="2"/>
  </si>
  <si>
    <t>（　ti=</t>
    <phoneticPr fontId="2"/>
  </si>
  <si>
    <t>採用</t>
    <rPh sb="0" eb="2">
      <t>サイヨウ</t>
    </rPh>
    <phoneticPr fontId="2"/>
  </si>
  <si>
    <t>V =</t>
    <phoneticPr fontId="2"/>
  </si>
  <si>
    <t>∴Ｖ =</t>
    <phoneticPr fontId="2"/>
  </si>
  <si>
    <t>＊参考までに、沈澱池の設定について（長方形型）</t>
    <rPh sb="1" eb="3">
      <t>サンコウ</t>
    </rPh>
    <rPh sb="7" eb="10">
      <t>チンデンチ</t>
    </rPh>
    <rPh sb="11" eb="13">
      <t>セッテイ</t>
    </rPh>
    <rPh sb="18" eb="21">
      <t>チョウホウケイ</t>
    </rPh>
    <rPh sb="21" eb="22">
      <t>ガタ</t>
    </rPh>
    <phoneticPr fontId="2"/>
  </si>
  <si>
    <t>沈砂池の長さ（仕切堤等を除く、上面縦の長さ）</t>
    <rPh sb="0" eb="3">
      <t>チンサチ</t>
    </rPh>
    <rPh sb="4" eb="5">
      <t>ナガ</t>
    </rPh>
    <rPh sb="7" eb="9">
      <t>シキリ</t>
    </rPh>
    <rPh sb="9" eb="10">
      <t>ツツミ</t>
    </rPh>
    <rPh sb="10" eb="11">
      <t>トウ</t>
    </rPh>
    <rPh sb="12" eb="13">
      <t>ノゾ</t>
    </rPh>
    <rPh sb="15" eb="17">
      <t>ジョウメン</t>
    </rPh>
    <rPh sb="17" eb="18">
      <t>タテ</t>
    </rPh>
    <rPh sb="19" eb="20">
      <t>ナガ</t>
    </rPh>
    <phoneticPr fontId="2"/>
  </si>
  <si>
    <t>ろ過堤(上面)長さ</t>
    <rPh sb="7" eb="8">
      <t>ナガ</t>
    </rPh>
    <phoneticPr fontId="2"/>
  </si>
  <si>
    <t>堤高</t>
    <rPh sb="0" eb="2">
      <t>ツツミタカ</t>
    </rPh>
    <phoneticPr fontId="2"/>
  </si>
  <si>
    <t>h1 =</t>
    <phoneticPr fontId="2"/>
  </si>
  <si>
    <t>h2 =</t>
    <phoneticPr fontId="2"/>
  </si>
  <si>
    <t>m</t>
    <phoneticPr fontId="2"/>
  </si>
  <si>
    <t>w =</t>
    <phoneticPr fontId="2"/>
  </si>
  <si>
    <t>m</t>
    <phoneticPr fontId="2"/>
  </si>
  <si>
    <t>I＝</t>
    <phoneticPr fontId="2"/>
  </si>
  <si>
    <t>（ｔ：min）</t>
    <phoneticPr fontId="2"/>
  </si>
  <si>
    <t>ti+</t>
    <phoneticPr fontId="2"/>
  </si>
  <si>
    <t>Qco ＝</t>
    <phoneticPr fontId="2"/>
  </si>
  <si>
    <r>
      <t>0.00046(h1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-h2</t>
    </r>
    <r>
      <rPr>
        <vertAlign val="superscript"/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)/(h1×w×2)</t>
    </r>
    <phoneticPr fontId="2"/>
  </si>
  <si>
    <t>S =</t>
    <phoneticPr fontId="2"/>
  </si>
  <si>
    <t>｛L+(L-h1×2)｝×h1/2</t>
    <phoneticPr fontId="2"/>
  </si>
  <si>
    <t>=</t>
    <phoneticPr fontId="2"/>
  </si>
  <si>
    <t>㎡</t>
    <phoneticPr fontId="2"/>
  </si>
  <si>
    <t>Qco×S</t>
    <phoneticPr fontId="2"/>
  </si>
  <si>
    <t>－</t>
    <phoneticPr fontId="2"/>
  </si>
  <si>
    <t>）＝</t>
    <phoneticPr fontId="2"/>
  </si>
  <si>
    <t>　）</t>
    <phoneticPr fontId="2"/>
  </si>
  <si>
    <t>B</t>
    <phoneticPr fontId="2"/>
  </si>
  <si>
    <t>Ｌ</t>
    <phoneticPr fontId="2"/>
  </si>
  <si>
    <t>＝</t>
    <phoneticPr fontId="2"/>
  </si>
  <si>
    <t>H</t>
    <phoneticPr fontId="2"/>
  </si>
  <si>
    <t>Ｂ×Ｌ</t>
    <phoneticPr fontId="2"/>
  </si>
  <si>
    <t>平均長</t>
    <rPh sb="0" eb="2">
      <t>ヘイキン</t>
    </rPh>
    <rPh sb="2" eb="3">
      <t>ナガ</t>
    </rPh>
    <phoneticPr fontId="2"/>
  </si>
  <si>
    <t>　）</t>
    <phoneticPr fontId="2"/>
  </si>
  <si>
    <t>深さ</t>
    <rPh sb="0" eb="1">
      <t>フカ</t>
    </rPh>
    <phoneticPr fontId="2"/>
  </si>
  <si>
    <t>　※　ろ過堤の形状によっては、別途計算して、
 　　　□内に記入して頂く必要があります。</t>
    <rPh sb="4" eb="5">
      <t>カ</t>
    </rPh>
    <rPh sb="5" eb="6">
      <t>テイ</t>
    </rPh>
    <rPh sb="7" eb="9">
      <t>ケイジョウ</t>
    </rPh>
    <rPh sb="15" eb="17">
      <t>ベット</t>
    </rPh>
    <rPh sb="17" eb="19">
      <t>ケイサン</t>
    </rPh>
    <rPh sb="28" eb="29">
      <t>ナイ</t>
    </rPh>
    <rPh sb="30" eb="32">
      <t>キニュウ</t>
    </rPh>
    <rPh sb="34" eb="35">
      <t>イタダ</t>
    </rPh>
    <rPh sb="36" eb="38">
      <t>ヒツヨウ</t>
    </rPh>
    <phoneticPr fontId="2"/>
  </si>
  <si>
    <t>　凝集処理の場合、計算上必要容量が過小、あるいはマイナスで算出されることが</t>
    <rPh sb="1" eb="3">
      <t>ギョウシュウ</t>
    </rPh>
    <rPh sb="3" eb="5">
      <t>ショリ</t>
    </rPh>
    <rPh sb="6" eb="8">
      <t>バアイ</t>
    </rPh>
    <rPh sb="9" eb="12">
      <t>ケイサンジョウ</t>
    </rPh>
    <rPh sb="12" eb="14">
      <t>ヒツヨウ</t>
    </rPh>
    <rPh sb="14" eb="16">
      <t>ヨウリョウ</t>
    </rPh>
    <rPh sb="17" eb="19">
      <t>カショウ</t>
    </rPh>
    <rPh sb="29" eb="31">
      <t>サンシュツ</t>
    </rPh>
    <phoneticPr fontId="2"/>
  </si>
  <si>
    <t>　ありますが、施設の稼働・管理上、最低10m3程度の釜場を設置してください。</t>
    <rPh sb="7" eb="9">
      <t>シセツ</t>
    </rPh>
    <rPh sb="10" eb="12">
      <t>カドウ</t>
    </rPh>
    <rPh sb="13" eb="15">
      <t>カンリ</t>
    </rPh>
    <rPh sb="15" eb="16">
      <t>ジョウ</t>
    </rPh>
    <rPh sb="17" eb="19">
      <t>サイテイ</t>
    </rPh>
    <rPh sb="23" eb="25">
      <t>テイド</t>
    </rPh>
    <rPh sb="26" eb="27">
      <t>カマ</t>
    </rPh>
    <rPh sb="27" eb="28">
      <t>バ</t>
    </rPh>
    <rPh sb="29" eb="31">
      <t>セッチ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</si>
</sst>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00"/>
    <numFmt numFmtId="177" formatCode="0.00000"/>
    <numFmt numFmtId="178" formatCode="\(0.0\)"/>
    <numFmt numFmtId="179" formatCode="#,##0.0;[Red]\-#,##0.0"/>
    <numFmt numFmtId="180" formatCode="0.0_ "/>
    <numFmt numFmtId="181" formatCode="0.000_ "/>
    <numFmt numFmtId="182" formatCode="0.00_ "/>
    <numFmt numFmtId="183" formatCode="0_ "/>
    <numFmt numFmtId="184" formatCode="0.00000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0" fillId="0" borderId="1" xfId="0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180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182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0" fillId="0" borderId="0" xfId="0" quotePrefix="1" applyAlignment="1">
      <alignment horizontal="right" vertical="center"/>
    </xf>
    <xf numFmtId="183" fontId="0" fillId="0" borderId="0" xfId="0" applyNumberFormat="1">
      <alignment vertical="center"/>
    </xf>
    <xf numFmtId="180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38" fontId="1" fillId="3" borderId="8" xfId="1" applyFill="1" applyBorder="1" applyAlignment="1" applyProtection="1">
      <alignment horizontal="center"/>
      <protection locked="0"/>
    </xf>
    <xf numFmtId="0" fontId="9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0" xfId="0" quotePrefix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9" fillId="0" borderId="9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183" fontId="0" fillId="0" borderId="0" xfId="0" applyNumberFormat="1" applyBorder="1">
      <alignment vertical="center"/>
    </xf>
    <xf numFmtId="0" fontId="0" fillId="0" borderId="14" xfId="0" applyBorder="1">
      <alignment vertical="center"/>
    </xf>
    <xf numFmtId="180" fontId="0" fillId="0" borderId="15" xfId="0" applyNumberFormat="1" applyBorder="1" applyAlignment="1">
      <alignment horizontal="center" vertical="center"/>
    </xf>
    <xf numFmtId="38" fontId="0" fillId="0" borderId="15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9" xfId="0" applyBorder="1">
      <alignment vertical="center"/>
    </xf>
    <xf numFmtId="182" fontId="0" fillId="0" borderId="0" xfId="0" applyNumberForma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4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3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28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176" fontId="0" fillId="3" borderId="5" xfId="0" applyNumberFormat="1" applyFill="1" applyBorder="1">
      <alignment vertical="center"/>
    </xf>
    <xf numFmtId="177" fontId="0" fillId="4" borderId="30" xfId="0" applyNumberFormat="1" applyFill="1" applyBorder="1">
      <alignment vertical="center"/>
    </xf>
    <xf numFmtId="0" fontId="0" fillId="5" borderId="30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8" xfId="0" applyFill="1" applyBorder="1">
      <alignment vertical="center"/>
    </xf>
    <xf numFmtId="2" fontId="0" fillId="4" borderId="31" xfId="0" applyNumberFormat="1" applyFill="1" applyBorder="1" applyProtection="1">
      <alignment vertical="center"/>
      <protection locked="0"/>
    </xf>
    <xf numFmtId="179" fontId="1" fillId="4" borderId="32" xfId="1" applyNumberFormat="1" applyFill="1" applyBorder="1" applyAlignment="1" applyProtection="1"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5" fillId="0" borderId="24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78" fontId="0" fillId="4" borderId="5" xfId="0" applyNumberFormat="1" applyFill="1" applyBorder="1" applyProtection="1">
      <alignment vertical="center"/>
      <protection locked="0"/>
    </xf>
    <xf numFmtId="0" fontId="0" fillId="4" borderId="30" xfId="0" applyFill="1" applyBorder="1" applyProtection="1">
      <alignment vertical="center"/>
      <protection locked="0"/>
    </xf>
    <xf numFmtId="0" fontId="14" fillId="4" borderId="30" xfId="0" applyFont="1" applyFill="1" applyBorder="1" applyProtection="1">
      <alignment vertical="center"/>
      <protection locked="0"/>
    </xf>
    <xf numFmtId="2" fontId="0" fillId="4" borderId="30" xfId="0" applyNumberFormat="1" applyFill="1" applyBorder="1" applyProtection="1">
      <alignment vertical="center"/>
      <protection locked="0"/>
    </xf>
    <xf numFmtId="1" fontId="0" fillId="4" borderId="30" xfId="0" applyNumberFormat="1" applyFill="1" applyBorder="1" applyProtection="1">
      <alignment vertical="center"/>
      <protection locked="0"/>
    </xf>
    <xf numFmtId="0" fontId="0" fillId="5" borderId="30" xfId="0" applyFill="1" applyBorder="1" applyProtection="1">
      <alignment vertical="center"/>
      <protection locked="0"/>
    </xf>
    <xf numFmtId="0" fontId="0" fillId="5" borderId="8" xfId="0" applyFill="1" applyBorder="1" applyProtection="1">
      <alignment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176" fontId="0" fillId="2" borderId="30" xfId="0" applyNumberFormat="1" applyFill="1" applyBorder="1" applyProtection="1">
      <alignment vertical="center"/>
      <protection locked="0"/>
    </xf>
    <xf numFmtId="0" fontId="0" fillId="0" borderId="33" xfId="0" applyBorder="1">
      <alignment vertical="center"/>
    </xf>
    <xf numFmtId="0" fontId="0" fillId="6" borderId="34" xfId="0" applyFill="1" applyBorder="1" applyAlignment="1">
      <alignment vertical="center" wrapText="1"/>
    </xf>
    <xf numFmtId="0" fontId="0" fillId="6" borderId="35" xfId="0" applyFill="1" applyBorder="1" applyAlignment="1">
      <alignment vertical="center"/>
    </xf>
    <xf numFmtId="0" fontId="0" fillId="6" borderId="36" xfId="0" applyFill="1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39" xfId="0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0" fillId="0" borderId="42" xfId="0" applyBorder="1">
      <alignment vertical="center"/>
    </xf>
    <xf numFmtId="180" fontId="0" fillId="0" borderId="27" xfId="0" applyNumberFormat="1" applyBorder="1">
      <alignment vertical="center"/>
    </xf>
    <xf numFmtId="0" fontId="0" fillId="0" borderId="0" xfId="0" applyAlignment="1"/>
    <xf numFmtId="0" fontId="0" fillId="0" borderId="27" xfId="0" applyBorder="1">
      <alignment vertical="center"/>
    </xf>
    <xf numFmtId="181" fontId="0" fillId="0" borderId="0" xfId="0" applyNumberFormat="1" applyBorder="1">
      <alignment vertical="center"/>
    </xf>
    <xf numFmtId="0" fontId="3" fillId="0" borderId="0" xfId="0" applyFont="1">
      <alignment vertical="center"/>
    </xf>
    <xf numFmtId="180" fontId="0" fillId="0" borderId="0" xfId="0" applyNumberFormat="1" applyAlignment="1">
      <alignment horizontal="right" vertical="center"/>
    </xf>
    <xf numFmtId="180" fontId="0" fillId="0" borderId="27" xfId="0" applyNumberFormat="1" applyBorder="1" applyAlignment="1">
      <alignment horizontal="center" vertical="center"/>
    </xf>
    <xf numFmtId="0" fontId="16" fillId="0" borderId="0" xfId="0" applyFont="1">
      <alignment vertical="center"/>
    </xf>
    <xf numFmtId="0" fontId="3" fillId="0" borderId="43" xfId="0" applyFont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80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NumberFormat="1" applyAlignment="1">
      <alignment vertical="center"/>
    </xf>
    <xf numFmtId="3" fontId="1" fillId="0" borderId="0" xfId="1" applyNumberFormat="1" applyAlignment="1">
      <alignment horizontal="left" vertical="center"/>
    </xf>
    <xf numFmtId="182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184" fontId="0" fillId="0" borderId="0" xfId="0" applyNumberFormat="1">
      <alignment vertical="center"/>
    </xf>
    <xf numFmtId="0" fontId="16" fillId="0" borderId="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181" fontId="0" fillId="0" borderId="46" xfId="0" applyNumberFormat="1" applyBorder="1">
      <alignment vertical="center"/>
    </xf>
    <xf numFmtId="181" fontId="0" fillId="0" borderId="47" xfId="0" applyNumberFormat="1" applyBorder="1">
      <alignment vertical="center"/>
    </xf>
    <xf numFmtId="0" fontId="3" fillId="0" borderId="0" xfId="0" applyFont="1" applyBorder="1" applyAlignment="1"/>
    <xf numFmtId="0" fontId="3" fillId="0" borderId="20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0</xdr:row>
      <xdr:rowOff>0</xdr:rowOff>
    </xdr:from>
    <xdr:to>
      <xdr:col>3</xdr:col>
      <xdr:colOff>657225</xdr:colOff>
      <xdr:row>0</xdr:row>
      <xdr:rowOff>0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>
          <a:off x="3190875" y="0"/>
          <a:ext cx="447675" cy="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4</xdr:col>
      <xdr:colOff>228600</xdr:colOff>
      <xdr:row>0</xdr:row>
      <xdr:rowOff>0</xdr:rowOff>
    </xdr:from>
    <xdr:to>
      <xdr:col>4</xdr:col>
      <xdr:colOff>676275</xdr:colOff>
      <xdr:row>0</xdr:row>
      <xdr:rowOff>0</xdr:rowOff>
    </xdr:to>
    <xdr:sp macro="" textlink="">
      <xdr:nvSpPr>
        <xdr:cNvPr id="8194" name="AutoShape 2"/>
        <xdr:cNvSpPr>
          <a:spLocks noChangeArrowheads="1"/>
        </xdr:cNvSpPr>
      </xdr:nvSpPr>
      <xdr:spPr bwMode="auto">
        <a:xfrm>
          <a:off x="4067175" y="0"/>
          <a:ext cx="447675" cy="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5</xdr:col>
      <xdr:colOff>209550</xdr:colOff>
      <xdr:row>0</xdr:row>
      <xdr:rowOff>0</xdr:rowOff>
    </xdr:from>
    <xdr:to>
      <xdr:col>5</xdr:col>
      <xdr:colOff>447675</xdr:colOff>
      <xdr:row>0</xdr:row>
      <xdr:rowOff>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>
          <a:off x="4981575" y="0"/>
          <a:ext cx="238125" cy="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6</xdr:col>
      <xdr:colOff>190500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8196" name="AutoShape 4"/>
        <xdr:cNvSpPr>
          <a:spLocks noChangeArrowheads="1"/>
        </xdr:cNvSpPr>
      </xdr:nvSpPr>
      <xdr:spPr bwMode="auto">
        <a:xfrm>
          <a:off x="5410200" y="0"/>
          <a:ext cx="428625" cy="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1</xdr:col>
      <xdr:colOff>257175</xdr:colOff>
      <xdr:row>0</xdr:row>
      <xdr:rowOff>180975</xdr:rowOff>
    </xdr:from>
    <xdr:to>
      <xdr:col>1</xdr:col>
      <xdr:colOff>704850</xdr:colOff>
      <xdr:row>0</xdr:row>
      <xdr:rowOff>371475</xdr:rowOff>
    </xdr:to>
    <xdr:sp macro="" textlink="">
      <xdr:nvSpPr>
        <xdr:cNvPr id="8197" name="AutoShape 5"/>
        <xdr:cNvSpPr>
          <a:spLocks noChangeArrowheads="1"/>
        </xdr:cNvSpPr>
      </xdr:nvSpPr>
      <xdr:spPr bwMode="auto">
        <a:xfrm>
          <a:off x="1524000" y="18097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2</xdr:col>
      <xdr:colOff>247650</xdr:colOff>
      <xdr:row>0</xdr:row>
      <xdr:rowOff>180975</xdr:rowOff>
    </xdr:from>
    <xdr:to>
      <xdr:col>2</xdr:col>
      <xdr:colOff>695325</xdr:colOff>
      <xdr:row>0</xdr:row>
      <xdr:rowOff>371475</xdr:rowOff>
    </xdr:to>
    <xdr:sp macro="" textlink="">
      <xdr:nvSpPr>
        <xdr:cNvPr id="8198" name="AutoShape 6"/>
        <xdr:cNvSpPr>
          <a:spLocks noChangeArrowheads="1"/>
        </xdr:cNvSpPr>
      </xdr:nvSpPr>
      <xdr:spPr bwMode="auto">
        <a:xfrm>
          <a:off x="2371725" y="18097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結果</a:t>
          </a:r>
        </a:p>
      </xdr:txBody>
    </xdr:sp>
    <xdr:clientData/>
  </xdr:twoCellAnchor>
  <xdr:twoCellAnchor>
    <xdr:from>
      <xdr:col>1</xdr:col>
      <xdr:colOff>257175</xdr:colOff>
      <xdr:row>4</xdr:row>
      <xdr:rowOff>180975</xdr:rowOff>
    </xdr:from>
    <xdr:to>
      <xdr:col>1</xdr:col>
      <xdr:colOff>704850</xdr:colOff>
      <xdr:row>4</xdr:row>
      <xdr:rowOff>371475</xdr:rowOff>
    </xdr:to>
    <xdr:sp macro="" textlink="">
      <xdr:nvSpPr>
        <xdr:cNvPr id="8201" name="AutoShape 9"/>
        <xdr:cNvSpPr>
          <a:spLocks noChangeArrowheads="1"/>
        </xdr:cNvSpPr>
      </xdr:nvSpPr>
      <xdr:spPr bwMode="auto">
        <a:xfrm>
          <a:off x="1524000" y="110490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2</xdr:col>
      <xdr:colOff>247650</xdr:colOff>
      <xdr:row>4</xdr:row>
      <xdr:rowOff>180975</xdr:rowOff>
    </xdr:from>
    <xdr:to>
      <xdr:col>2</xdr:col>
      <xdr:colOff>695325</xdr:colOff>
      <xdr:row>4</xdr:row>
      <xdr:rowOff>371475</xdr:rowOff>
    </xdr:to>
    <xdr:sp macro="" textlink="">
      <xdr:nvSpPr>
        <xdr:cNvPr id="8202" name="AutoShape 10"/>
        <xdr:cNvSpPr>
          <a:spLocks noChangeArrowheads="1"/>
        </xdr:cNvSpPr>
      </xdr:nvSpPr>
      <xdr:spPr bwMode="auto">
        <a:xfrm>
          <a:off x="2371725" y="110490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結果</a:t>
          </a:r>
        </a:p>
      </xdr:txBody>
    </xdr:sp>
    <xdr:clientData/>
  </xdr:twoCellAnchor>
  <xdr:twoCellAnchor>
    <xdr:from>
      <xdr:col>1</xdr:col>
      <xdr:colOff>361950</xdr:colOff>
      <xdr:row>17</xdr:row>
      <xdr:rowOff>161925</xdr:rowOff>
    </xdr:from>
    <xdr:to>
      <xdr:col>2</xdr:col>
      <xdr:colOff>66675</xdr:colOff>
      <xdr:row>19</xdr:row>
      <xdr:rowOff>0</xdr:rowOff>
    </xdr:to>
    <xdr:grpSp>
      <xdr:nvGrpSpPr>
        <xdr:cNvPr id="8208" name="Group 16"/>
        <xdr:cNvGrpSpPr>
          <a:grpSpLocks/>
        </xdr:cNvGrpSpPr>
      </xdr:nvGrpSpPr>
      <xdr:grpSpPr bwMode="auto">
        <a:xfrm>
          <a:off x="1631950" y="3601508"/>
          <a:ext cx="561975" cy="176742"/>
          <a:chOff x="695" y="602"/>
          <a:chExt cx="171" cy="22"/>
        </a:xfrm>
      </xdr:grpSpPr>
      <xdr:sp macro="" textlink="">
        <xdr:nvSpPr>
          <xdr:cNvPr id="8209" name="Line 17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0" name="Line 18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1" name="Line 19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212" name="Line 20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1</xdr:row>
      <xdr:rowOff>76200</xdr:rowOff>
    </xdr:from>
    <xdr:to>
      <xdr:col>3</xdr:col>
      <xdr:colOff>657225</xdr:colOff>
      <xdr:row>1</xdr:row>
      <xdr:rowOff>266700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2914650" y="36195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4</xdr:col>
      <xdr:colOff>228600</xdr:colOff>
      <xdr:row>1</xdr:row>
      <xdr:rowOff>76200</xdr:rowOff>
    </xdr:from>
    <xdr:to>
      <xdr:col>4</xdr:col>
      <xdr:colOff>676275</xdr:colOff>
      <xdr:row>1</xdr:row>
      <xdr:rowOff>266700</xdr:rowOff>
    </xdr:to>
    <xdr:sp macro="" textlink="">
      <xdr:nvSpPr>
        <xdr:cNvPr id="10242" name="AutoShape 2"/>
        <xdr:cNvSpPr>
          <a:spLocks noChangeArrowheads="1"/>
        </xdr:cNvSpPr>
      </xdr:nvSpPr>
      <xdr:spPr bwMode="auto">
        <a:xfrm>
          <a:off x="3790950" y="36195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5</xdr:col>
      <xdr:colOff>209550</xdr:colOff>
      <xdr:row>1</xdr:row>
      <xdr:rowOff>76200</xdr:rowOff>
    </xdr:from>
    <xdr:to>
      <xdr:col>5</xdr:col>
      <xdr:colOff>657225</xdr:colOff>
      <xdr:row>1</xdr:row>
      <xdr:rowOff>266700</xdr:rowOff>
    </xdr:to>
    <xdr:sp macro="" textlink="">
      <xdr:nvSpPr>
        <xdr:cNvPr id="10243" name="AutoShape 3"/>
        <xdr:cNvSpPr>
          <a:spLocks noChangeArrowheads="1"/>
        </xdr:cNvSpPr>
      </xdr:nvSpPr>
      <xdr:spPr bwMode="auto">
        <a:xfrm>
          <a:off x="4629150" y="36195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6</xdr:col>
      <xdr:colOff>190500</xdr:colOff>
      <xdr:row>1</xdr:row>
      <xdr:rowOff>76200</xdr:rowOff>
    </xdr:from>
    <xdr:to>
      <xdr:col>6</xdr:col>
      <xdr:colOff>638175</xdr:colOff>
      <xdr:row>1</xdr:row>
      <xdr:rowOff>266700</xdr:rowOff>
    </xdr:to>
    <xdr:sp macro="" textlink="">
      <xdr:nvSpPr>
        <xdr:cNvPr id="10244" name="AutoShape 4"/>
        <xdr:cNvSpPr>
          <a:spLocks noChangeArrowheads="1"/>
        </xdr:cNvSpPr>
      </xdr:nvSpPr>
      <xdr:spPr bwMode="auto">
        <a:xfrm>
          <a:off x="5467350" y="36195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0</xdr:col>
      <xdr:colOff>257175</xdr:colOff>
      <xdr:row>9</xdr:row>
      <xdr:rowOff>180975</xdr:rowOff>
    </xdr:from>
    <xdr:to>
      <xdr:col>0</xdr:col>
      <xdr:colOff>704850</xdr:colOff>
      <xdr:row>9</xdr:row>
      <xdr:rowOff>371475</xdr:rowOff>
    </xdr:to>
    <xdr:sp macro="" textlink="">
      <xdr:nvSpPr>
        <xdr:cNvPr id="10245" name="AutoShape 5"/>
        <xdr:cNvSpPr>
          <a:spLocks noChangeArrowheads="1"/>
        </xdr:cNvSpPr>
      </xdr:nvSpPr>
      <xdr:spPr bwMode="auto">
        <a:xfrm>
          <a:off x="257175" y="254317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2</xdr:col>
      <xdr:colOff>247650</xdr:colOff>
      <xdr:row>9</xdr:row>
      <xdr:rowOff>180975</xdr:rowOff>
    </xdr:from>
    <xdr:to>
      <xdr:col>2</xdr:col>
      <xdr:colOff>695325</xdr:colOff>
      <xdr:row>9</xdr:row>
      <xdr:rowOff>371475</xdr:rowOff>
    </xdr:to>
    <xdr:sp macro="" textlink="">
      <xdr:nvSpPr>
        <xdr:cNvPr id="10246" name="AutoShape 6"/>
        <xdr:cNvSpPr>
          <a:spLocks noChangeArrowheads="1"/>
        </xdr:cNvSpPr>
      </xdr:nvSpPr>
      <xdr:spPr bwMode="auto">
        <a:xfrm>
          <a:off x="2095500" y="254317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結果</a:t>
          </a:r>
        </a:p>
      </xdr:txBody>
    </xdr:sp>
    <xdr:clientData/>
  </xdr:twoCellAnchor>
  <xdr:twoCellAnchor>
    <xdr:from>
      <xdr:col>0</xdr:col>
      <xdr:colOff>838200</xdr:colOff>
      <xdr:row>13</xdr:row>
      <xdr:rowOff>104775</xdr:rowOff>
    </xdr:from>
    <xdr:to>
      <xdr:col>2</xdr:col>
      <xdr:colOff>266700</xdr:colOff>
      <xdr:row>15</xdr:row>
      <xdr:rowOff>114300</xdr:rowOff>
    </xdr:to>
    <xdr:sp macro="" textlink="">
      <xdr:nvSpPr>
        <xdr:cNvPr id="10247" name="AutoShape 7"/>
        <xdr:cNvSpPr>
          <a:spLocks noChangeArrowheads="1"/>
        </xdr:cNvSpPr>
      </xdr:nvSpPr>
      <xdr:spPr bwMode="auto">
        <a:xfrm>
          <a:off x="838200" y="3390900"/>
          <a:ext cx="1276350" cy="352425"/>
        </a:xfrm>
        <a:prstGeom prst="wedgeRoundRectCallout">
          <a:avLst>
            <a:gd name="adj1" fmla="val -14181"/>
            <a:gd name="adj2" fmla="val -7702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ろ過式の場合は、構造によって決定される。</a:t>
          </a:r>
        </a:p>
      </xdr:txBody>
    </xdr:sp>
    <xdr:clientData/>
  </xdr:twoCellAnchor>
  <xdr:twoCellAnchor>
    <xdr:from>
      <xdr:col>9</xdr:col>
      <xdr:colOff>85725</xdr:colOff>
      <xdr:row>9</xdr:row>
      <xdr:rowOff>57150</xdr:rowOff>
    </xdr:from>
    <xdr:to>
      <xdr:col>11</xdr:col>
      <xdr:colOff>28575</xdr:colOff>
      <xdr:row>9</xdr:row>
      <xdr:rowOff>285750</xdr:rowOff>
    </xdr:to>
    <xdr:sp macro="" textlink="">
      <xdr:nvSpPr>
        <xdr:cNvPr id="10248" name="AutoShape 8"/>
        <xdr:cNvSpPr>
          <a:spLocks noChangeArrowheads="1"/>
        </xdr:cNvSpPr>
      </xdr:nvSpPr>
      <xdr:spPr bwMode="auto">
        <a:xfrm>
          <a:off x="7362825" y="2419350"/>
          <a:ext cx="1200150" cy="228600"/>
        </a:xfrm>
        <a:prstGeom prst="wedgeRoundRectCallout">
          <a:avLst>
            <a:gd name="adj1" fmla="val 34125"/>
            <a:gd name="adj2" fmla="val -7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ろ過式の場合は、0.5</a:t>
          </a:r>
        </a:p>
      </xdr:txBody>
    </xdr:sp>
    <xdr:clientData/>
  </xdr:twoCellAnchor>
  <xdr:twoCellAnchor>
    <xdr:from>
      <xdr:col>2</xdr:col>
      <xdr:colOff>257175</xdr:colOff>
      <xdr:row>24</xdr:row>
      <xdr:rowOff>180975</xdr:rowOff>
    </xdr:from>
    <xdr:to>
      <xdr:col>2</xdr:col>
      <xdr:colOff>704850</xdr:colOff>
      <xdr:row>24</xdr:row>
      <xdr:rowOff>371475</xdr:rowOff>
    </xdr:to>
    <xdr:sp macro="" textlink="">
      <xdr:nvSpPr>
        <xdr:cNvPr id="10249" name="AutoShape 9"/>
        <xdr:cNvSpPr>
          <a:spLocks noChangeArrowheads="1"/>
        </xdr:cNvSpPr>
      </xdr:nvSpPr>
      <xdr:spPr bwMode="auto">
        <a:xfrm>
          <a:off x="2105025" y="572452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4</xdr:col>
      <xdr:colOff>247650</xdr:colOff>
      <xdr:row>24</xdr:row>
      <xdr:rowOff>180975</xdr:rowOff>
    </xdr:from>
    <xdr:to>
      <xdr:col>4</xdr:col>
      <xdr:colOff>695325</xdr:colOff>
      <xdr:row>24</xdr:row>
      <xdr:rowOff>371475</xdr:rowOff>
    </xdr:to>
    <xdr:sp macro="" textlink="">
      <xdr:nvSpPr>
        <xdr:cNvPr id="10250" name="AutoShape 10"/>
        <xdr:cNvSpPr>
          <a:spLocks noChangeArrowheads="1"/>
        </xdr:cNvSpPr>
      </xdr:nvSpPr>
      <xdr:spPr bwMode="auto">
        <a:xfrm>
          <a:off x="3810000" y="5724525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34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結果</a:t>
          </a:r>
        </a:p>
      </xdr:txBody>
    </xdr:sp>
    <xdr:clientData/>
  </xdr:twoCellAnchor>
  <xdr:twoCellAnchor>
    <xdr:from>
      <xdr:col>3</xdr:col>
      <xdr:colOff>38100</xdr:colOff>
      <xdr:row>28</xdr:row>
      <xdr:rowOff>123825</xdr:rowOff>
    </xdr:from>
    <xdr:to>
      <xdr:col>4</xdr:col>
      <xdr:colOff>314325</xdr:colOff>
      <xdr:row>30</xdr:row>
      <xdr:rowOff>114300</xdr:rowOff>
    </xdr:to>
    <xdr:sp macro="" textlink="">
      <xdr:nvSpPr>
        <xdr:cNvPr id="10251" name="AutoShape 11"/>
        <xdr:cNvSpPr>
          <a:spLocks noChangeArrowheads="1"/>
        </xdr:cNvSpPr>
      </xdr:nvSpPr>
      <xdr:spPr bwMode="auto">
        <a:xfrm>
          <a:off x="2743200" y="6800850"/>
          <a:ext cx="1133475" cy="342900"/>
        </a:xfrm>
        <a:prstGeom prst="wedgeRoundRectCallout">
          <a:avLst>
            <a:gd name="adj1" fmla="val -9505"/>
            <a:gd name="adj2" fmla="val -7856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凝集沈澱式の場合は、直接入力する</a:t>
          </a:r>
        </a:p>
      </xdr:txBody>
    </xdr:sp>
    <xdr:clientData/>
  </xdr:twoCellAnchor>
  <xdr:twoCellAnchor>
    <xdr:from>
      <xdr:col>3</xdr:col>
      <xdr:colOff>276225</xdr:colOff>
      <xdr:row>24</xdr:row>
      <xdr:rowOff>190500</xdr:rowOff>
    </xdr:from>
    <xdr:to>
      <xdr:col>3</xdr:col>
      <xdr:colOff>723900</xdr:colOff>
      <xdr:row>24</xdr:row>
      <xdr:rowOff>381000</xdr:rowOff>
    </xdr:to>
    <xdr:sp macro="" textlink="">
      <xdr:nvSpPr>
        <xdr:cNvPr id="10252" name="AutoShape 12"/>
        <xdr:cNvSpPr>
          <a:spLocks noChangeArrowheads="1"/>
        </xdr:cNvSpPr>
      </xdr:nvSpPr>
      <xdr:spPr bwMode="auto">
        <a:xfrm>
          <a:off x="2981325" y="5734050"/>
          <a:ext cx="447675" cy="190500"/>
        </a:xfrm>
        <a:prstGeom prst="wedgeRoundRectCallout">
          <a:avLst>
            <a:gd name="adj1" fmla="val -52130"/>
            <a:gd name="adj2" fmla="val 45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</a:t>
          </a:r>
        </a:p>
      </xdr:txBody>
    </xdr:sp>
    <xdr:clientData/>
  </xdr:twoCellAnchor>
  <xdr:twoCellAnchor>
    <xdr:from>
      <xdr:col>9</xdr:col>
      <xdr:colOff>95250</xdr:colOff>
      <xdr:row>24</xdr:row>
      <xdr:rowOff>123825</xdr:rowOff>
    </xdr:from>
    <xdr:to>
      <xdr:col>11</xdr:col>
      <xdr:colOff>238125</xdr:colOff>
      <xdr:row>24</xdr:row>
      <xdr:rowOff>304800</xdr:rowOff>
    </xdr:to>
    <xdr:sp macro="" textlink="">
      <xdr:nvSpPr>
        <xdr:cNvPr id="10253" name="AutoShape 13"/>
        <xdr:cNvSpPr>
          <a:spLocks noChangeArrowheads="1"/>
        </xdr:cNvSpPr>
      </xdr:nvSpPr>
      <xdr:spPr bwMode="auto">
        <a:xfrm>
          <a:off x="7372350" y="5667375"/>
          <a:ext cx="1400175" cy="180975"/>
        </a:xfrm>
        <a:prstGeom prst="wedgeRoundRectCallout">
          <a:avLst>
            <a:gd name="adj1" fmla="val 5782"/>
            <a:gd name="adj2" fmla="val -118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9050">
          <a:solidFill>
            <a:srgbClr xmlns:mc="http://schemas.openxmlformats.org/markup-compatibility/2006" xmlns:a14="http://schemas.microsoft.com/office/drawing/2010/main" val="333399" mc:Ignorable="a14" a14:legacySpreadsheetColorIndex="6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凝集沈澱式の場合は、1.0</a:t>
          </a:r>
        </a:p>
      </xdr:txBody>
    </xdr:sp>
    <xdr:clientData/>
  </xdr:twoCellAnchor>
  <xdr:twoCellAnchor>
    <xdr:from>
      <xdr:col>3</xdr:col>
      <xdr:colOff>676275</xdr:colOff>
      <xdr:row>11</xdr:row>
      <xdr:rowOff>38100</xdr:rowOff>
    </xdr:from>
    <xdr:to>
      <xdr:col>10</xdr:col>
      <xdr:colOff>561975</xdr:colOff>
      <xdr:row>16</xdr:row>
      <xdr:rowOff>38100</xdr:rowOff>
    </xdr:to>
    <xdr:sp macro="" textlink="">
      <xdr:nvSpPr>
        <xdr:cNvPr id="10254" name="AutoShape 14"/>
        <xdr:cNvSpPr>
          <a:spLocks noChangeArrowheads="1"/>
        </xdr:cNvSpPr>
      </xdr:nvSpPr>
      <xdr:spPr bwMode="auto">
        <a:xfrm>
          <a:off x="3381375" y="2971800"/>
          <a:ext cx="5029200" cy="8667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　ろ過堤の構造図より、ろ過砂厚及び堤高、放流管高、ろ過砂の透過面積（最終ろ過堤面積）を記入すると、Qcが出てきます。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　その後、３段目の集水面積を記入すると、濁水貯留工必要容量が出てきます。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97</xdr:row>
      <xdr:rowOff>66675</xdr:rowOff>
    </xdr:from>
    <xdr:to>
      <xdr:col>9</xdr:col>
      <xdr:colOff>447675</xdr:colOff>
      <xdr:row>98</xdr:row>
      <xdr:rowOff>152400</xdr:rowOff>
    </xdr:to>
    <xdr:grpSp>
      <xdr:nvGrpSpPr>
        <xdr:cNvPr id="11265" name="Group 1"/>
        <xdr:cNvGrpSpPr>
          <a:grpSpLocks/>
        </xdr:cNvGrpSpPr>
      </xdr:nvGrpSpPr>
      <xdr:grpSpPr bwMode="auto">
        <a:xfrm>
          <a:off x="2562225" y="14506575"/>
          <a:ext cx="2257425" cy="180975"/>
          <a:chOff x="695" y="602"/>
          <a:chExt cx="171" cy="22"/>
        </a:xfrm>
      </xdr:grpSpPr>
      <xdr:sp macro="" textlink="">
        <xdr:nvSpPr>
          <xdr:cNvPr id="11266" name="Line 2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7" name="Line 3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8" name="Line 4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69" name="Line 5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257175</xdr:colOff>
      <xdr:row>95</xdr:row>
      <xdr:rowOff>0</xdr:rowOff>
    </xdr:from>
    <xdr:to>
      <xdr:col>6</xdr:col>
      <xdr:colOff>161925</xdr:colOff>
      <xdr:row>95</xdr:row>
      <xdr:rowOff>171450</xdr:rowOff>
    </xdr:to>
    <xdr:grpSp>
      <xdr:nvGrpSpPr>
        <xdr:cNvPr id="11270" name="Group 6"/>
        <xdr:cNvGrpSpPr>
          <a:grpSpLocks/>
        </xdr:cNvGrpSpPr>
      </xdr:nvGrpSpPr>
      <xdr:grpSpPr bwMode="auto">
        <a:xfrm>
          <a:off x="2466975" y="14068425"/>
          <a:ext cx="781050" cy="171450"/>
          <a:chOff x="695" y="602"/>
          <a:chExt cx="171" cy="22"/>
        </a:xfrm>
      </xdr:grpSpPr>
      <xdr:sp macro="" textlink="">
        <xdr:nvSpPr>
          <xdr:cNvPr id="11271" name="Line 7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2" name="Line 8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3" name="Line 9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74" name="Line 10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136</xdr:row>
      <xdr:rowOff>161925</xdr:rowOff>
    </xdr:from>
    <xdr:to>
      <xdr:col>4</xdr:col>
      <xdr:colOff>57150</xdr:colOff>
      <xdr:row>138</xdr:row>
      <xdr:rowOff>19050</xdr:rowOff>
    </xdr:to>
    <xdr:grpSp>
      <xdr:nvGrpSpPr>
        <xdr:cNvPr id="12289" name="Group 1"/>
        <xdr:cNvGrpSpPr>
          <a:grpSpLocks/>
        </xdr:cNvGrpSpPr>
      </xdr:nvGrpSpPr>
      <xdr:grpSpPr bwMode="auto">
        <a:xfrm>
          <a:off x="1695450" y="20450175"/>
          <a:ext cx="571500" cy="200025"/>
          <a:chOff x="695" y="602"/>
          <a:chExt cx="171" cy="22"/>
        </a:xfrm>
      </xdr:grpSpPr>
      <xdr:sp macro="" textlink="">
        <xdr:nvSpPr>
          <xdr:cNvPr id="12290" name="Line 2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1" name="Line 3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2" name="Line 4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3" name="Line 5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0</xdr:colOff>
      <xdr:row>95</xdr:row>
      <xdr:rowOff>76200</xdr:rowOff>
    </xdr:from>
    <xdr:to>
      <xdr:col>9</xdr:col>
      <xdr:colOff>266700</xdr:colOff>
      <xdr:row>96</xdr:row>
      <xdr:rowOff>152400</xdr:rowOff>
    </xdr:to>
    <xdr:grpSp>
      <xdr:nvGrpSpPr>
        <xdr:cNvPr id="12294" name="Group 6"/>
        <xdr:cNvGrpSpPr>
          <a:grpSpLocks/>
        </xdr:cNvGrpSpPr>
      </xdr:nvGrpSpPr>
      <xdr:grpSpPr bwMode="auto">
        <a:xfrm>
          <a:off x="2609850" y="14211300"/>
          <a:ext cx="2028825" cy="171450"/>
          <a:chOff x="695" y="602"/>
          <a:chExt cx="171" cy="22"/>
        </a:xfrm>
      </xdr:grpSpPr>
      <xdr:sp macro="" textlink="">
        <xdr:nvSpPr>
          <xdr:cNvPr id="12295" name="Line 7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6" name="Line 8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7" name="Line 9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98" name="Line 10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257175</xdr:colOff>
      <xdr:row>92</xdr:row>
      <xdr:rowOff>85725</xdr:rowOff>
    </xdr:from>
    <xdr:to>
      <xdr:col>6</xdr:col>
      <xdr:colOff>161925</xdr:colOff>
      <xdr:row>93</xdr:row>
      <xdr:rowOff>161925</xdr:rowOff>
    </xdr:to>
    <xdr:grpSp>
      <xdr:nvGrpSpPr>
        <xdr:cNvPr id="12299" name="Group 11"/>
        <xdr:cNvGrpSpPr>
          <a:grpSpLocks/>
        </xdr:cNvGrpSpPr>
      </xdr:nvGrpSpPr>
      <xdr:grpSpPr bwMode="auto">
        <a:xfrm>
          <a:off x="2466975" y="13754100"/>
          <a:ext cx="781050" cy="171450"/>
          <a:chOff x="695" y="602"/>
          <a:chExt cx="171" cy="22"/>
        </a:xfrm>
      </xdr:grpSpPr>
      <xdr:sp macro="" textlink="">
        <xdr:nvSpPr>
          <xdr:cNvPr id="12300" name="Line 12"/>
          <xdr:cNvSpPr>
            <a:spLocks noChangeShapeType="1"/>
          </xdr:cNvSpPr>
        </xdr:nvSpPr>
        <xdr:spPr bwMode="auto">
          <a:xfrm>
            <a:off x="711" y="602"/>
            <a:ext cx="155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1" name="Line 13"/>
          <xdr:cNvSpPr>
            <a:spLocks noChangeShapeType="1"/>
          </xdr:cNvSpPr>
        </xdr:nvSpPr>
        <xdr:spPr bwMode="auto">
          <a:xfrm flipV="1">
            <a:off x="695" y="614"/>
            <a:ext cx="4" cy="6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2" name="Line 14"/>
          <xdr:cNvSpPr>
            <a:spLocks noChangeShapeType="1"/>
          </xdr:cNvSpPr>
        </xdr:nvSpPr>
        <xdr:spPr bwMode="auto">
          <a:xfrm>
            <a:off x="699" y="612"/>
            <a:ext cx="5" cy="12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03" name="Line 15"/>
          <xdr:cNvSpPr>
            <a:spLocks noChangeShapeType="1"/>
          </xdr:cNvSpPr>
        </xdr:nvSpPr>
        <xdr:spPr bwMode="auto">
          <a:xfrm flipV="1">
            <a:off x="705" y="603"/>
            <a:ext cx="6" cy="2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7" zoomScale="90" workbookViewId="0">
      <selection activeCell="B4" sqref="B4"/>
    </sheetView>
  </sheetViews>
  <sheetFormatPr defaultRowHeight="13.5"/>
  <cols>
    <col min="1" max="1" width="16.625" customWidth="1"/>
    <col min="2" max="4" width="11.25" customWidth="1"/>
    <col min="5" max="5" width="12.25" customWidth="1"/>
    <col min="6" max="6" width="5.875" customWidth="1"/>
    <col min="7" max="7" width="8.125" customWidth="1"/>
    <col min="8" max="8" width="7.5" bestFit="1" customWidth="1"/>
    <col min="9" max="10" width="7.5" customWidth="1"/>
    <col min="12" max="12" width="5.875" bestFit="1" customWidth="1"/>
    <col min="13" max="13" width="7.875" bestFit="1" customWidth="1"/>
    <col min="14" max="14" width="9.5" bestFit="1" customWidth="1"/>
  </cols>
  <sheetData>
    <row r="1" spans="1:7" ht="31.5" customHeight="1" thickBot="1"/>
    <row r="2" spans="1:7">
      <c r="A2" s="26" t="s">
        <v>154</v>
      </c>
      <c r="B2" s="2" t="s">
        <v>1</v>
      </c>
      <c r="C2" s="3" t="s">
        <v>0</v>
      </c>
      <c r="D2" s="8" t="s">
        <v>167</v>
      </c>
      <c r="E2" t="s">
        <v>166</v>
      </c>
    </row>
    <row r="3" spans="1:7" ht="13.5" customHeight="1">
      <c r="A3" s="108" t="s">
        <v>156</v>
      </c>
      <c r="B3" s="1" t="s">
        <v>153</v>
      </c>
      <c r="C3" s="4" t="s">
        <v>152</v>
      </c>
      <c r="D3" s="8" t="s">
        <v>165</v>
      </c>
      <c r="E3" t="str">
        <f>B4&amp;"×"&amp;0.15</f>
        <v>5450×0.15</v>
      </c>
      <c r="F3" s="7" t="s">
        <v>164</v>
      </c>
      <c r="G3" s="18">
        <f>B4*0.15</f>
        <v>817.5</v>
      </c>
    </row>
    <row r="4" spans="1:7" ht="14.25" thickBot="1">
      <c r="A4" s="108"/>
      <c r="B4" s="5">
        <v>5450</v>
      </c>
      <c r="C4" s="25">
        <f>B4*0.15</f>
        <v>817.5</v>
      </c>
    </row>
    <row r="5" spans="1:7" ht="31.5" customHeight="1" thickBot="1"/>
    <row r="6" spans="1:7">
      <c r="A6" s="26" t="s">
        <v>155</v>
      </c>
      <c r="B6" s="2" t="s">
        <v>1</v>
      </c>
      <c r="C6" s="3" t="s">
        <v>163</v>
      </c>
      <c r="D6" s="8" t="s">
        <v>167</v>
      </c>
      <c r="E6" t="s">
        <v>168</v>
      </c>
    </row>
    <row r="7" spans="1:7" ht="13.5" customHeight="1">
      <c r="A7" s="108" t="s">
        <v>157</v>
      </c>
      <c r="B7" s="1" t="s">
        <v>153</v>
      </c>
      <c r="C7" s="4" t="s">
        <v>152</v>
      </c>
      <c r="D7" s="8" t="s">
        <v>165</v>
      </c>
      <c r="E7" t="str">
        <f>B8&amp;"×"&amp;0.023</f>
        <v>3000×0.023</v>
      </c>
      <c r="F7" s="7" t="s">
        <v>164</v>
      </c>
      <c r="G7" s="18">
        <f>B8*0.023</f>
        <v>69</v>
      </c>
    </row>
    <row r="8" spans="1:7" ht="14.25" thickBot="1">
      <c r="A8" s="108"/>
      <c r="B8" s="5">
        <v>3000</v>
      </c>
      <c r="C8" s="25">
        <f>B8*0.023</f>
        <v>69</v>
      </c>
    </row>
    <row r="9" spans="1:7">
      <c r="A9" t="s">
        <v>160</v>
      </c>
    </row>
    <row r="11" spans="1:7" ht="14.25" thickBot="1"/>
    <row r="12" spans="1:7" ht="15.75" customHeight="1" thickTop="1">
      <c r="A12" s="111" t="s">
        <v>162</v>
      </c>
      <c r="B12" s="112"/>
      <c r="C12" s="112"/>
      <c r="D12" s="112"/>
      <c r="E12" s="112"/>
      <c r="F12" s="39"/>
    </row>
    <row r="13" spans="1:7">
      <c r="A13" s="109" t="s">
        <v>161</v>
      </c>
      <c r="B13" s="110"/>
      <c r="C13" s="110"/>
      <c r="D13" s="110"/>
      <c r="E13" s="110"/>
      <c r="F13" s="31"/>
    </row>
    <row r="14" spans="1:7">
      <c r="A14" s="37"/>
      <c r="B14" s="13"/>
      <c r="C14" s="13"/>
      <c r="D14" s="13"/>
      <c r="E14" s="13"/>
      <c r="F14" s="31"/>
    </row>
    <row r="15" spans="1:7">
      <c r="A15" s="30"/>
      <c r="B15" s="27" t="s">
        <v>158</v>
      </c>
      <c r="C15" s="13" t="s">
        <v>113</v>
      </c>
      <c r="D15" s="13" t="s">
        <v>114</v>
      </c>
      <c r="E15" s="13" t="s">
        <v>169</v>
      </c>
      <c r="F15" s="31"/>
    </row>
    <row r="16" spans="1:7">
      <c r="A16" s="30"/>
      <c r="B16" s="28" t="s">
        <v>115</v>
      </c>
      <c r="C16" s="41">
        <f>C4</f>
        <v>817.5</v>
      </c>
      <c r="D16" s="13" t="s">
        <v>114</v>
      </c>
      <c r="E16" s="40">
        <v>2</v>
      </c>
      <c r="F16" s="31"/>
    </row>
    <row r="17" spans="1:7" ht="15.75" customHeight="1">
      <c r="A17" s="30"/>
      <c r="B17" s="28" t="s">
        <v>115</v>
      </c>
      <c r="C17" s="9">
        <f>ROUND(C16/E16,0)</f>
        <v>409</v>
      </c>
      <c r="D17" s="9" t="s">
        <v>116</v>
      </c>
      <c r="E17" s="13" t="s">
        <v>213</v>
      </c>
      <c r="F17" s="32"/>
      <c r="G17" s="7"/>
    </row>
    <row r="18" spans="1:7">
      <c r="A18" s="30"/>
      <c r="B18" s="9"/>
      <c r="C18" s="9"/>
      <c r="D18" s="9"/>
      <c r="E18" s="9"/>
      <c r="F18" s="31"/>
    </row>
    <row r="19" spans="1:7">
      <c r="A19" s="30"/>
      <c r="B19" s="27" t="s">
        <v>159</v>
      </c>
      <c r="C19" s="29" t="s">
        <v>115</v>
      </c>
      <c r="D19" s="9">
        <f>SQRT(C17)</f>
        <v>20.223748416156685</v>
      </c>
      <c r="E19" s="9" t="s">
        <v>117</v>
      </c>
      <c r="F19" s="31"/>
    </row>
    <row r="20" spans="1:7">
      <c r="A20" s="30"/>
      <c r="B20" s="9"/>
      <c r="C20" s="9"/>
      <c r="D20" s="9"/>
      <c r="E20" s="9"/>
      <c r="F20" s="31"/>
    </row>
    <row r="21" spans="1:7">
      <c r="A21" s="30"/>
      <c r="B21" s="27" t="s">
        <v>118</v>
      </c>
      <c r="C21" s="29" t="s">
        <v>115</v>
      </c>
      <c r="D21" s="22">
        <f>ROUNDUP(D19+E16,0)</f>
        <v>23</v>
      </c>
      <c r="E21" s="9" t="s">
        <v>117</v>
      </c>
      <c r="F21" s="31"/>
    </row>
    <row r="22" spans="1:7">
      <c r="A22" s="30"/>
      <c r="B22" s="27" t="s">
        <v>120</v>
      </c>
      <c r="C22" s="29" t="s">
        <v>115</v>
      </c>
      <c r="D22" s="22">
        <f>D21</f>
        <v>23</v>
      </c>
      <c r="E22" s="9" t="s">
        <v>117</v>
      </c>
      <c r="F22" s="31"/>
    </row>
    <row r="23" spans="1:7">
      <c r="A23" s="30"/>
      <c r="B23" s="27" t="s">
        <v>119</v>
      </c>
      <c r="C23" s="29" t="s">
        <v>115</v>
      </c>
      <c r="D23" s="22">
        <f>D21-2*E16</f>
        <v>19</v>
      </c>
      <c r="E23" s="9" t="s">
        <v>117</v>
      </c>
      <c r="F23" s="31"/>
    </row>
    <row r="24" spans="1:7">
      <c r="A24" s="30"/>
      <c r="B24" s="27" t="s">
        <v>121</v>
      </c>
      <c r="C24" s="29" t="s">
        <v>115</v>
      </c>
      <c r="D24" s="22">
        <f>D23</f>
        <v>19</v>
      </c>
      <c r="E24" s="9" t="s">
        <v>117</v>
      </c>
      <c r="F24" s="31"/>
    </row>
    <row r="25" spans="1:7">
      <c r="A25" s="33"/>
      <c r="B25" s="9"/>
      <c r="C25" s="9"/>
      <c r="D25" s="9"/>
      <c r="E25" s="9"/>
      <c r="F25" s="31"/>
    </row>
    <row r="26" spans="1:7">
      <c r="A26" s="33" t="s">
        <v>122</v>
      </c>
      <c r="B26" s="27" t="s">
        <v>123</v>
      </c>
      <c r="C26" s="13" t="s">
        <v>23</v>
      </c>
      <c r="D26" s="9" t="str">
        <f>"("&amp;D22&amp;"+"&amp;D24&amp;")/2"</f>
        <v>(23+19)/2</v>
      </c>
      <c r="E26" s="9"/>
      <c r="F26" s="31"/>
    </row>
    <row r="27" spans="1:7">
      <c r="A27" s="30"/>
      <c r="B27" s="9"/>
      <c r="C27" s="13" t="s">
        <v>23</v>
      </c>
      <c r="D27" s="9">
        <f>(D22+D24)/2</f>
        <v>21</v>
      </c>
      <c r="E27" s="9" t="s">
        <v>19</v>
      </c>
      <c r="F27" s="31"/>
    </row>
    <row r="28" spans="1:7">
      <c r="A28" s="30"/>
      <c r="B28" s="9"/>
      <c r="C28" s="13"/>
      <c r="D28" s="9"/>
      <c r="E28" s="9"/>
      <c r="F28" s="31"/>
    </row>
    <row r="29" spans="1:7">
      <c r="A29" s="30"/>
      <c r="B29" s="27" t="s">
        <v>124</v>
      </c>
      <c r="C29" s="13" t="s">
        <v>23</v>
      </c>
      <c r="D29" s="9" t="str">
        <f>D27&amp;"×"&amp;D27&amp;"×"&amp;E16</f>
        <v>21×21×2</v>
      </c>
      <c r="E29" s="9"/>
      <c r="F29" s="31"/>
    </row>
    <row r="30" spans="1:7">
      <c r="A30" s="30"/>
      <c r="B30" s="9"/>
      <c r="C30" s="13" t="s">
        <v>23</v>
      </c>
      <c r="D30" s="38">
        <f>INT(D27^2*E16)</f>
        <v>882</v>
      </c>
      <c r="E30" s="9" t="s">
        <v>129</v>
      </c>
      <c r="F30" s="31"/>
    </row>
    <row r="31" spans="1:7" ht="14.25" thickBot="1">
      <c r="A31" s="34"/>
      <c r="B31" s="35"/>
      <c r="C31" s="35"/>
      <c r="D31" s="35"/>
      <c r="E31" s="35"/>
      <c r="F31" s="36"/>
    </row>
    <row r="32" spans="1:7" ht="14.25" thickTop="1"/>
  </sheetData>
  <mergeCells count="4">
    <mergeCell ref="A3:A4"/>
    <mergeCell ref="A7:A8"/>
    <mergeCell ref="A13:E13"/>
    <mergeCell ref="A12:E12"/>
  </mergeCells>
  <phoneticPr fontId="2"/>
  <pageMargins left="0.75" right="0.75" top="1" bottom="1" header="0.51200000000000001" footer="0.51200000000000001"/>
  <pageSetup paperSize="9" orientation="portrait" r:id="rId1"/>
  <headerFooter alignWithMargins="0"/>
  <ignoredErrors>
    <ignoredError sqref="D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85" workbookViewId="0">
      <selection activeCell="E10" sqref="E10"/>
    </sheetView>
  </sheetViews>
  <sheetFormatPr defaultRowHeight="13.5"/>
  <cols>
    <col min="1" max="1" width="11.25" customWidth="1"/>
    <col min="2" max="2" width="13" bestFit="1" customWidth="1"/>
    <col min="3" max="7" width="11.25" customWidth="1"/>
    <col min="8" max="8" width="7.5" bestFit="1" customWidth="1"/>
    <col min="9" max="10" width="7.5" customWidth="1"/>
    <col min="12" max="12" width="5.875" bestFit="1" customWidth="1"/>
    <col min="13" max="13" width="7.875" bestFit="1" customWidth="1"/>
    <col min="14" max="14" width="9.5" bestFit="1" customWidth="1"/>
  </cols>
  <sheetData>
    <row r="1" spans="1:11" ht="22.5" customHeight="1" thickTop="1" thickBot="1">
      <c r="A1" s="89" t="s">
        <v>209</v>
      </c>
    </row>
    <row r="2" spans="1:11" ht="22.5" customHeight="1" thickTop="1" thickBot="1">
      <c r="D2" s="52"/>
    </row>
    <row r="3" spans="1:11" ht="27">
      <c r="A3" s="53" t="s">
        <v>177</v>
      </c>
      <c r="B3" s="54" t="s">
        <v>178</v>
      </c>
      <c r="C3" s="55" t="s">
        <v>179</v>
      </c>
      <c r="D3" s="54" t="s">
        <v>180</v>
      </c>
      <c r="E3" s="54" t="s">
        <v>181</v>
      </c>
      <c r="F3" s="55" t="s">
        <v>182</v>
      </c>
      <c r="G3" s="56" t="s">
        <v>183</v>
      </c>
      <c r="I3" s="57" t="s">
        <v>184</v>
      </c>
      <c r="J3" s="58" t="s">
        <v>185</v>
      </c>
    </row>
    <row r="4" spans="1:11" ht="27">
      <c r="A4" s="59" t="s">
        <v>186</v>
      </c>
      <c r="B4" s="60" t="s">
        <v>187</v>
      </c>
      <c r="C4" s="61" t="s">
        <v>188</v>
      </c>
      <c r="D4" s="61" t="s">
        <v>189</v>
      </c>
      <c r="E4" s="61" t="s">
        <v>190</v>
      </c>
      <c r="F4" s="61" t="s">
        <v>190</v>
      </c>
      <c r="G4" s="62" t="s">
        <v>191</v>
      </c>
      <c r="I4" s="63" t="s">
        <v>192</v>
      </c>
      <c r="J4" s="64" t="s">
        <v>193</v>
      </c>
    </row>
    <row r="5" spans="1:11" ht="14.25" thickBot="1">
      <c r="A5" s="65">
        <f>+B5*G5</f>
        <v>2.87776E-2</v>
      </c>
      <c r="B5" s="66">
        <f>+C5*0.01*(E5^2-F5^2)/E5/D5/2</f>
        <v>8.9930000000000001E-4</v>
      </c>
      <c r="C5" s="67">
        <v>4.5999999999999999E-2</v>
      </c>
      <c r="D5" s="68">
        <v>0.5</v>
      </c>
      <c r="E5" s="68">
        <v>2</v>
      </c>
      <c r="F5" s="68">
        <v>0.3</v>
      </c>
      <c r="G5" s="69">
        <v>32</v>
      </c>
      <c r="I5" s="70">
        <f>(C9-D9*K9)*60*B9*H9*A13/360</f>
        <v>507.01704083333323</v>
      </c>
      <c r="J5" s="71">
        <f>ROUNDUP(I5*1.1,0)</f>
        <v>558</v>
      </c>
    </row>
    <row r="6" spans="1:11" ht="22.5" customHeight="1" thickBot="1"/>
    <row r="7" spans="1:11" ht="22.5">
      <c r="A7" s="72" t="s">
        <v>194</v>
      </c>
      <c r="B7" s="73" t="s">
        <v>194</v>
      </c>
      <c r="C7" s="73"/>
      <c r="D7" s="73" t="s">
        <v>195</v>
      </c>
      <c r="E7" s="73"/>
      <c r="F7" s="73"/>
      <c r="G7" s="73"/>
      <c r="H7" s="73" t="s">
        <v>196</v>
      </c>
      <c r="I7" s="74"/>
      <c r="J7" s="73"/>
      <c r="K7" s="75" t="s">
        <v>197</v>
      </c>
    </row>
    <row r="8" spans="1:11">
      <c r="A8" s="1" t="s">
        <v>198</v>
      </c>
      <c r="B8" s="76" t="s">
        <v>199</v>
      </c>
      <c r="C8" s="77" t="s">
        <v>200</v>
      </c>
      <c r="D8" s="78" t="s">
        <v>201</v>
      </c>
      <c r="E8" s="76" t="s">
        <v>202</v>
      </c>
      <c r="F8" s="76" t="s">
        <v>203</v>
      </c>
      <c r="G8" s="76" t="s">
        <v>204</v>
      </c>
      <c r="H8" s="76" t="s">
        <v>175</v>
      </c>
      <c r="I8" s="76"/>
      <c r="J8" s="76"/>
      <c r="K8" s="79" t="s">
        <v>205</v>
      </c>
    </row>
    <row r="9" spans="1:11" ht="14.25" thickBot="1">
      <c r="A9" s="80">
        <f>ROUND((-F9+SQRT(F9^2-4*E9*G9))/(2*E9),1)</f>
        <v>271.39999999999998</v>
      </c>
      <c r="B9" s="81">
        <f>IF(A9&gt;120,A9,120)</f>
        <v>271.39999999999998</v>
      </c>
      <c r="C9" s="82">
        <f>ROUND(I9/(B9+J9),1)</f>
        <v>27.7</v>
      </c>
      <c r="D9" s="81">
        <f>ROUND((360*B13)/(H9*A13),1)</f>
        <v>17.5</v>
      </c>
      <c r="E9" s="83">
        <f>ROUND(K9*D9,2)</f>
        <v>8.75</v>
      </c>
      <c r="F9" s="83">
        <f>ROUND(2*K9*D9*125,2)</f>
        <v>2187.5</v>
      </c>
      <c r="G9" s="84">
        <f>ROUND(J9*(K9*D9*J9-I9),0)</f>
        <v>-1238281</v>
      </c>
      <c r="H9" s="85">
        <v>0.7</v>
      </c>
      <c r="I9" s="85">
        <v>11000</v>
      </c>
      <c r="J9" s="85">
        <v>125</v>
      </c>
      <c r="K9" s="86">
        <v>0.5</v>
      </c>
    </row>
    <row r="10" spans="1:11" ht="31.5" customHeight="1" thickBot="1"/>
    <row r="11" spans="1:11">
      <c r="A11" s="2" t="s">
        <v>1</v>
      </c>
      <c r="B11" s="87" t="s">
        <v>206</v>
      </c>
      <c r="C11" s="3" t="s">
        <v>0</v>
      </c>
    </row>
    <row r="12" spans="1:11" ht="13.5" customHeight="1">
      <c r="A12" s="1" t="s">
        <v>207</v>
      </c>
      <c r="B12" s="76" t="s">
        <v>176</v>
      </c>
      <c r="C12" s="4" t="s">
        <v>208</v>
      </c>
    </row>
    <row r="13" spans="1:11" ht="14.25" thickBot="1">
      <c r="A13" s="5">
        <v>0.84499999999999997</v>
      </c>
      <c r="B13" s="88">
        <f>A5</f>
        <v>2.87776E-2</v>
      </c>
      <c r="C13" s="25">
        <f>J5</f>
        <v>558</v>
      </c>
    </row>
    <row r="18" spans="1:11" ht="14.25" thickBo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1:11" ht="14.25" thickBot="1"/>
    <row r="20" spans="1:11" ht="22.5" customHeight="1" thickTop="1" thickBot="1">
      <c r="A20" s="89" t="s">
        <v>212</v>
      </c>
    </row>
    <row r="21" spans="1:11" ht="22.5" customHeight="1" thickTop="1" thickBot="1"/>
    <row r="22" spans="1:11" ht="22.5">
      <c r="A22" s="72" t="s">
        <v>194</v>
      </c>
      <c r="B22" s="73" t="s">
        <v>194</v>
      </c>
      <c r="C22" s="73"/>
      <c r="D22" s="73" t="s">
        <v>195</v>
      </c>
      <c r="E22" s="73"/>
      <c r="F22" s="73"/>
      <c r="G22" s="73"/>
      <c r="H22" s="73" t="s">
        <v>196</v>
      </c>
      <c r="I22" s="74"/>
      <c r="J22" s="73"/>
      <c r="K22" s="75" t="s">
        <v>197</v>
      </c>
    </row>
    <row r="23" spans="1:11">
      <c r="A23" s="1" t="s">
        <v>198</v>
      </c>
      <c r="B23" s="76" t="s">
        <v>199</v>
      </c>
      <c r="C23" s="77" t="s">
        <v>200</v>
      </c>
      <c r="D23" s="78" t="s">
        <v>201</v>
      </c>
      <c r="E23" s="76" t="s">
        <v>202</v>
      </c>
      <c r="F23" s="76" t="s">
        <v>203</v>
      </c>
      <c r="G23" s="76" t="s">
        <v>204</v>
      </c>
      <c r="H23" s="76" t="s">
        <v>175</v>
      </c>
      <c r="I23" s="76"/>
      <c r="J23" s="76"/>
      <c r="K23" s="79" t="s">
        <v>205</v>
      </c>
    </row>
    <row r="24" spans="1:11" ht="14.25" thickBot="1">
      <c r="A24" s="80">
        <f>ROUND((-F24+SQRT(F24^2-4*E24*G24))/(2*E24),1)</f>
        <v>349.8</v>
      </c>
      <c r="B24" s="81">
        <f>IF(A24&gt;120,A24,120)</f>
        <v>349.8</v>
      </c>
      <c r="C24" s="82">
        <f>ROUND(I24/(B24+J24),1)</f>
        <v>23.2</v>
      </c>
      <c r="D24" s="81">
        <f>ROUND((360*D28)/(H24*C28),1)</f>
        <v>6.1</v>
      </c>
      <c r="E24" s="83">
        <f>ROUND(K24*D24,2)</f>
        <v>6.1</v>
      </c>
      <c r="F24" s="83">
        <f>ROUND(2*K24*D24*125,2)</f>
        <v>1525</v>
      </c>
      <c r="G24" s="84">
        <f>ROUND(J24*(K24*D24*J24-I24),0)</f>
        <v>-1279688</v>
      </c>
      <c r="H24" s="85">
        <v>0.7</v>
      </c>
      <c r="I24" s="85">
        <v>11000</v>
      </c>
      <c r="J24" s="85">
        <v>125</v>
      </c>
      <c r="K24" s="86">
        <v>1</v>
      </c>
    </row>
    <row r="25" spans="1:11" ht="31.5" customHeight="1" thickBot="1"/>
    <row r="26" spans="1:11" ht="14.25" thickBot="1">
      <c r="A26" s="57" t="s">
        <v>184</v>
      </c>
      <c r="B26" s="58" t="s">
        <v>185</v>
      </c>
      <c r="C26" s="2" t="s">
        <v>1</v>
      </c>
      <c r="D26" s="87" t="s">
        <v>206</v>
      </c>
      <c r="E26" s="3" t="s">
        <v>0</v>
      </c>
    </row>
    <row r="27" spans="1:11" ht="27">
      <c r="A27" s="63" t="s">
        <v>192</v>
      </c>
      <c r="B27" s="64" t="s">
        <v>193</v>
      </c>
      <c r="C27" s="1" t="s">
        <v>207</v>
      </c>
      <c r="D27" s="76" t="s">
        <v>176</v>
      </c>
      <c r="E27" s="4" t="s">
        <v>208</v>
      </c>
      <c r="G27" s="90" t="s">
        <v>210</v>
      </c>
      <c r="H27" s="91"/>
      <c r="I27" s="91"/>
      <c r="J27" s="91"/>
      <c r="K27" s="92"/>
    </row>
    <row r="28" spans="1:11" ht="16.5" thickBot="1">
      <c r="A28" s="70">
        <f>(C24-D24*K24)*60*B24*H24*C28/360</f>
        <v>589.68409499999996</v>
      </c>
      <c r="B28" s="71">
        <f>ROUNDUP(A28*1.1,0)</f>
        <v>649</v>
      </c>
      <c r="C28" s="5">
        <v>0.84499999999999997</v>
      </c>
      <c r="D28" s="88">
        <v>0.01</v>
      </c>
      <c r="E28" s="25">
        <f>B28</f>
        <v>649</v>
      </c>
      <c r="G28" s="93" t="s">
        <v>211</v>
      </c>
      <c r="H28" s="94"/>
      <c r="I28" s="94"/>
      <c r="J28" s="94"/>
      <c r="K28" s="95"/>
    </row>
    <row r="29" spans="1:11" ht="14.25" thickBot="1">
      <c r="G29" s="96"/>
      <c r="H29" s="97"/>
      <c r="I29" s="97"/>
      <c r="J29" s="97"/>
      <c r="K29" s="98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topLeftCell="A4" zoomScaleNormal="100" workbookViewId="0">
      <selection activeCell="P28" sqref="P28"/>
    </sheetView>
  </sheetViews>
  <sheetFormatPr defaultRowHeight="13.5"/>
  <cols>
    <col min="1" max="1" width="7.5" customWidth="1"/>
    <col min="3" max="4" width="6.25" customWidth="1"/>
    <col min="5" max="5" width="5.25" customWidth="1"/>
    <col min="6" max="6" width="6.25" customWidth="1"/>
    <col min="7" max="7" width="5" customWidth="1"/>
    <col min="8" max="8" width="6.875" customWidth="1"/>
    <col min="9" max="9" width="5" customWidth="1"/>
    <col min="10" max="10" width="6.875" customWidth="1"/>
    <col min="11" max="11" width="5" customWidth="1"/>
    <col min="12" max="12" width="6.875" customWidth="1"/>
    <col min="13" max="13" width="5" customWidth="1"/>
    <col min="14" max="14" width="6.875" customWidth="1"/>
    <col min="15" max="15" width="5" customWidth="1"/>
    <col min="16" max="16" width="6.875" customWidth="1"/>
    <col min="17" max="17" width="6.25" customWidth="1"/>
  </cols>
  <sheetData>
    <row r="1" spans="1:16">
      <c r="A1" t="s">
        <v>3</v>
      </c>
    </row>
    <row r="3" spans="1:16">
      <c r="B3" t="s">
        <v>4</v>
      </c>
    </row>
    <row r="4" spans="1:16" ht="7.5" customHeight="1"/>
    <row r="5" spans="1:16">
      <c r="B5" t="s">
        <v>5</v>
      </c>
    </row>
    <row r="7" spans="1:16">
      <c r="A7" t="s">
        <v>6</v>
      </c>
    </row>
    <row r="8" spans="1:16">
      <c r="I8" s="42"/>
      <c r="J8" s="43"/>
      <c r="K8" s="43"/>
      <c r="L8" s="43"/>
      <c r="M8" s="43"/>
      <c r="N8" s="43"/>
      <c r="O8" s="44"/>
    </row>
    <row r="9" spans="1:16">
      <c r="B9" t="s">
        <v>7</v>
      </c>
      <c r="C9" s="8" t="s">
        <v>8</v>
      </c>
      <c r="D9" s="133">
        <v>0.84499999999999997</v>
      </c>
      <c r="E9" s="134"/>
      <c r="F9" s="8" t="s">
        <v>9</v>
      </c>
      <c r="I9" s="45" t="s">
        <v>228</v>
      </c>
      <c r="J9" s="100">
        <v>2</v>
      </c>
      <c r="K9" s="9" t="s">
        <v>24</v>
      </c>
      <c r="L9" s="9" t="s">
        <v>20</v>
      </c>
      <c r="M9" s="9"/>
      <c r="N9" s="9"/>
      <c r="O9" s="46"/>
    </row>
    <row r="10" spans="1:16" ht="7.5" customHeight="1">
      <c r="C10" s="8"/>
      <c r="I10" s="50"/>
      <c r="J10" s="9"/>
      <c r="K10" s="9"/>
      <c r="L10" s="9"/>
      <c r="M10" s="9"/>
      <c r="N10" s="9"/>
      <c r="O10" s="46"/>
    </row>
    <row r="11" spans="1:16">
      <c r="B11" t="s">
        <v>10</v>
      </c>
      <c r="C11" s="8" t="s">
        <v>11</v>
      </c>
      <c r="D11" s="135">
        <v>0.7</v>
      </c>
      <c r="E11" s="136"/>
      <c r="I11" s="45" t="s">
        <v>229</v>
      </c>
      <c r="J11" s="100">
        <v>0.3</v>
      </c>
      <c r="K11" s="9" t="s">
        <v>230</v>
      </c>
      <c r="L11" s="9" t="s">
        <v>22</v>
      </c>
      <c r="M11" s="9"/>
      <c r="N11" s="9"/>
      <c r="O11" s="46"/>
    </row>
    <row r="12" spans="1:16" ht="7.5" customHeight="1">
      <c r="C12" s="8"/>
      <c r="I12" s="50"/>
      <c r="J12" s="9"/>
      <c r="K12" s="9"/>
      <c r="L12" s="9"/>
      <c r="M12" s="9"/>
      <c r="N12" s="9"/>
      <c r="O12" s="46"/>
    </row>
    <row r="13" spans="1:16">
      <c r="B13" t="s">
        <v>12</v>
      </c>
      <c r="C13" s="8" t="s">
        <v>13</v>
      </c>
      <c r="D13" s="9" t="s">
        <v>14</v>
      </c>
      <c r="E13" s="9"/>
      <c r="F13" t="s">
        <v>15</v>
      </c>
      <c r="I13" s="45" t="s">
        <v>231</v>
      </c>
      <c r="J13" s="100">
        <v>0.5</v>
      </c>
      <c r="K13" s="9" t="s">
        <v>232</v>
      </c>
      <c r="L13" s="9" t="s">
        <v>127</v>
      </c>
      <c r="M13" s="9"/>
      <c r="N13" s="9"/>
      <c r="O13" s="46"/>
    </row>
    <row r="14" spans="1:16" ht="7.5" customHeight="1">
      <c r="I14" s="50"/>
      <c r="J14" s="9"/>
      <c r="K14" s="9"/>
      <c r="L14" s="9"/>
      <c r="M14" s="9"/>
      <c r="N14" s="9"/>
      <c r="O14" s="46"/>
    </row>
    <row r="15" spans="1:16">
      <c r="C15" s="114" t="s">
        <v>233</v>
      </c>
      <c r="D15" s="121">
        <v>11000</v>
      </c>
      <c r="E15" s="121"/>
      <c r="F15" s="114" t="s">
        <v>234</v>
      </c>
      <c r="G15" s="114"/>
      <c r="I15" s="45" t="s">
        <v>214</v>
      </c>
      <c r="J15" s="100">
        <v>18</v>
      </c>
      <c r="K15" s="9" t="s">
        <v>21</v>
      </c>
      <c r="L15" s="9" t="s">
        <v>25</v>
      </c>
      <c r="M15" s="9"/>
      <c r="N15" s="9"/>
      <c r="O15" s="46"/>
    </row>
    <row r="16" spans="1:16">
      <c r="C16" s="114"/>
      <c r="D16" s="8" t="s">
        <v>235</v>
      </c>
      <c r="E16" s="18">
        <v>125</v>
      </c>
      <c r="F16" s="114"/>
      <c r="G16" s="114"/>
      <c r="I16" s="50"/>
      <c r="J16" s="139" t="s">
        <v>216</v>
      </c>
      <c r="K16" s="139"/>
      <c r="L16" s="139"/>
      <c r="M16" s="139"/>
      <c r="N16" s="139"/>
      <c r="O16" s="140"/>
      <c r="P16" s="101"/>
    </row>
    <row r="17" spans="1:16" ht="7.5" customHeight="1">
      <c r="I17" s="50"/>
      <c r="J17" s="139"/>
      <c r="K17" s="139"/>
      <c r="L17" s="139"/>
      <c r="M17" s="139"/>
      <c r="N17" s="139"/>
      <c r="O17" s="140"/>
      <c r="P17" s="101"/>
    </row>
    <row r="18" spans="1:16" ht="16.5" customHeight="1">
      <c r="C18" s="8" t="s">
        <v>236</v>
      </c>
      <c r="D18" t="s">
        <v>237</v>
      </c>
      <c r="I18" s="50"/>
      <c r="J18" s="131" t="s">
        <v>254</v>
      </c>
      <c r="K18" s="131"/>
      <c r="L18" s="131"/>
      <c r="M18" s="131"/>
      <c r="N18" s="131"/>
      <c r="O18" s="132"/>
    </row>
    <row r="19" spans="1:16" ht="7.5" customHeight="1">
      <c r="G19" s="8"/>
      <c r="H19" s="10"/>
      <c r="I19" s="50"/>
      <c r="J19" s="131"/>
      <c r="K19" s="131"/>
      <c r="L19" s="131"/>
      <c r="M19" s="131"/>
      <c r="N19" s="131"/>
      <c r="O19" s="132"/>
    </row>
    <row r="20" spans="1:16">
      <c r="C20" s="8" t="s">
        <v>108</v>
      </c>
      <c r="D20" s="130">
        <f>0.00046*(J9^2-J11^2)/J9/(J13*2)</f>
        <v>8.9930000000000001E-4</v>
      </c>
      <c r="E20" s="130"/>
      <c r="G20" s="8"/>
      <c r="H20" s="10"/>
      <c r="I20" s="45" t="s">
        <v>238</v>
      </c>
      <c r="J20" s="9" t="s">
        <v>239</v>
      </c>
      <c r="K20" s="9"/>
      <c r="L20" s="9"/>
      <c r="M20" s="9"/>
      <c r="N20" s="9"/>
      <c r="O20" s="46"/>
    </row>
    <row r="21" spans="1:16" ht="7.5" customHeight="1">
      <c r="C21" s="8"/>
      <c r="G21" s="8"/>
      <c r="H21" s="10"/>
      <c r="I21" s="50"/>
      <c r="J21" s="9"/>
      <c r="K21" s="9"/>
      <c r="L21" s="9"/>
      <c r="M21" s="9"/>
      <c r="N21" s="9"/>
      <c r="O21" s="46"/>
    </row>
    <row r="22" spans="1:16">
      <c r="B22" t="s">
        <v>18</v>
      </c>
      <c r="D22" t="s">
        <v>242</v>
      </c>
      <c r="I22" s="45" t="s">
        <v>240</v>
      </c>
      <c r="J22" s="102">
        <f>(J15*2-J9*2)*J9/2</f>
        <v>32</v>
      </c>
      <c r="K22" s="9" t="s">
        <v>241</v>
      </c>
      <c r="L22" s="9" t="s">
        <v>26</v>
      </c>
      <c r="M22" s="9"/>
      <c r="N22" s="9"/>
      <c r="O22" s="46"/>
    </row>
    <row r="23" spans="1:16" ht="7.5" customHeight="1">
      <c r="D23" s="103"/>
      <c r="E23" s="103"/>
      <c r="F23" s="8"/>
      <c r="G23" s="8"/>
      <c r="I23" s="47"/>
      <c r="J23" s="48"/>
      <c r="K23" s="48"/>
      <c r="L23" s="48"/>
      <c r="M23" s="48"/>
      <c r="N23" s="48"/>
      <c r="O23" s="49"/>
    </row>
    <row r="24" spans="1:16">
      <c r="C24" s="8" t="s">
        <v>108</v>
      </c>
      <c r="D24" s="137">
        <f>D20*J22</f>
        <v>2.87776E-2</v>
      </c>
      <c r="E24" s="138"/>
      <c r="F24" s="114" t="s">
        <v>133</v>
      </c>
      <c r="G24" s="114"/>
    </row>
    <row r="25" spans="1:16">
      <c r="C25" s="8"/>
    </row>
    <row r="26" spans="1:16">
      <c r="A26" t="s">
        <v>27</v>
      </c>
    </row>
    <row r="27" spans="1:16" ht="7.5" customHeight="1"/>
    <row r="28" spans="1:16">
      <c r="B28" t="s">
        <v>28</v>
      </c>
    </row>
    <row r="29" spans="1:16" ht="7.5" customHeight="1"/>
    <row r="30" spans="1:16">
      <c r="C30" s="114" t="s">
        <v>29</v>
      </c>
      <c r="D30" s="114"/>
      <c r="E30" s="114"/>
      <c r="F30" s="114"/>
      <c r="G30" s="114"/>
      <c r="H30" s="11">
        <v>1</v>
      </c>
    </row>
    <row r="31" spans="1:16">
      <c r="C31" s="114"/>
      <c r="D31" s="114"/>
      <c r="E31" s="114"/>
      <c r="F31" s="114"/>
      <c r="G31" s="114"/>
      <c r="H31" s="12">
        <v>360</v>
      </c>
    </row>
    <row r="32" spans="1:16" ht="7.5" customHeight="1"/>
    <row r="33" spans="2:12" ht="16.5">
      <c r="B33" s="8" t="s">
        <v>30</v>
      </c>
      <c r="C33" s="8" t="s">
        <v>31</v>
      </c>
      <c r="D33" t="s">
        <v>32</v>
      </c>
    </row>
    <row r="34" spans="2:12" ht="7.5" customHeight="1"/>
    <row r="35" spans="2:12">
      <c r="C35" s="8" t="s">
        <v>33</v>
      </c>
      <c r="D35" t="s">
        <v>34</v>
      </c>
    </row>
    <row r="36" spans="2:12">
      <c r="C36" s="8"/>
      <c r="I36" s="114" t="s">
        <v>35</v>
      </c>
      <c r="J36" s="129" t="s">
        <v>36</v>
      </c>
      <c r="K36" s="129"/>
      <c r="L36" s="118" t="s">
        <v>37</v>
      </c>
    </row>
    <row r="37" spans="2:12" ht="15.75">
      <c r="I37" s="114"/>
      <c r="J37" s="110" t="s">
        <v>38</v>
      </c>
      <c r="K37" s="110"/>
      <c r="L37" s="118"/>
    </row>
    <row r="38" spans="2:12">
      <c r="C38" s="8" t="s">
        <v>39</v>
      </c>
      <c r="D38" t="s">
        <v>40</v>
      </c>
    </row>
    <row r="39" spans="2:12">
      <c r="C39" s="8"/>
      <c r="I39" s="114" t="s">
        <v>41</v>
      </c>
      <c r="J39" s="129" t="s">
        <v>42</v>
      </c>
      <c r="K39" s="129"/>
      <c r="L39" s="118" t="s">
        <v>43</v>
      </c>
    </row>
    <row r="40" spans="2:12">
      <c r="I40" s="114"/>
      <c r="J40" s="110" t="s">
        <v>44</v>
      </c>
      <c r="K40" s="110"/>
      <c r="L40" s="118"/>
    </row>
    <row r="41" spans="2:12">
      <c r="C41" s="8" t="s">
        <v>45</v>
      </c>
      <c r="D41" t="s">
        <v>46</v>
      </c>
    </row>
    <row r="42" spans="2:12">
      <c r="G42" t="s">
        <v>128</v>
      </c>
    </row>
    <row r="43" spans="2:12">
      <c r="C43" s="8" t="s">
        <v>134</v>
      </c>
      <c r="D43" t="s">
        <v>47</v>
      </c>
    </row>
    <row r="44" spans="2:12" ht="7.5" customHeight="1"/>
    <row r="45" spans="2:12">
      <c r="C45" s="8" t="s">
        <v>48</v>
      </c>
      <c r="D45" t="s">
        <v>10</v>
      </c>
    </row>
    <row r="46" spans="2:12" ht="7.5" customHeight="1"/>
    <row r="47" spans="2:12">
      <c r="C47" s="8" t="s">
        <v>49</v>
      </c>
      <c r="D47" t="s">
        <v>50</v>
      </c>
    </row>
    <row r="48" spans="2:12" ht="13.5" customHeight="1"/>
    <row r="49" spans="1:10">
      <c r="A49" t="s">
        <v>51</v>
      </c>
    </row>
    <row r="50" spans="1:10" ht="7.5" customHeight="1"/>
    <row r="51" spans="1:10">
      <c r="C51" s="114" t="s">
        <v>52</v>
      </c>
      <c r="D51" s="129" t="s">
        <v>42</v>
      </c>
      <c r="E51" s="129"/>
    </row>
    <row r="52" spans="1:10">
      <c r="C52" s="114"/>
      <c r="D52" s="110" t="s">
        <v>53</v>
      </c>
      <c r="E52" s="110"/>
    </row>
    <row r="53" spans="1:10" ht="7.5" customHeight="1"/>
    <row r="54" spans="1:10">
      <c r="C54" s="114" t="s">
        <v>52</v>
      </c>
      <c r="D54" s="14">
        <v>360</v>
      </c>
      <c r="E54" s="11" t="s">
        <v>54</v>
      </c>
      <c r="F54" s="15">
        <f>D24</f>
        <v>2.87776E-2</v>
      </c>
      <c r="G54" s="116" t="s">
        <v>55</v>
      </c>
      <c r="H54" s="115">
        <f>ROUND((D54*F54)/(D55*F55),1)</f>
        <v>17.5</v>
      </c>
      <c r="I54" s="118" t="s">
        <v>56</v>
      </c>
      <c r="J54" s="118"/>
    </row>
    <row r="55" spans="1:10">
      <c r="C55" s="114"/>
      <c r="D55" s="16">
        <f>D11</f>
        <v>0.7</v>
      </c>
      <c r="E55" s="12" t="s">
        <v>54</v>
      </c>
      <c r="F55" s="17">
        <f>D9</f>
        <v>0.84499999999999997</v>
      </c>
      <c r="G55" s="115"/>
      <c r="H55" s="115"/>
      <c r="I55" s="118"/>
      <c r="J55" s="118"/>
    </row>
    <row r="57" spans="1:10">
      <c r="A57" t="s">
        <v>57</v>
      </c>
    </row>
    <row r="59" spans="1:10">
      <c r="B59" t="s">
        <v>58</v>
      </c>
    </row>
    <row r="60" spans="1:10" ht="7.5" customHeight="1"/>
    <row r="61" spans="1:10">
      <c r="B61" s="8" t="s">
        <v>59</v>
      </c>
      <c r="C61" s="8" t="s">
        <v>60</v>
      </c>
      <c r="D61" t="s">
        <v>61</v>
      </c>
    </row>
    <row r="62" spans="1:10">
      <c r="C62" s="8" t="s">
        <v>60</v>
      </c>
      <c r="D62" t="s">
        <v>62</v>
      </c>
    </row>
    <row r="63" spans="1:10" ht="10.5" customHeight="1"/>
    <row r="64" spans="1:10">
      <c r="C64" t="s">
        <v>63</v>
      </c>
    </row>
    <row r="65" spans="2:4" ht="7.5" customHeight="1"/>
    <row r="66" spans="2:4">
      <c r="B66" s="18"/>
      <c r="C66" t="s">
        <v>64</v>
      </c>
    </row>
    <row r="67" spans="2:4" ht="13.5" customHeight="1">
      <c r="B67" s="18"/>
    </row>
    <row r="68" spans="2:4">
      <c r="B68" t="s">
        <v>65</v>
      </c>
    </row>
    <row r="69" spans="2:4" ht="13.5" customHeight="1"/>
    <row r="70" spans="2:4">
      <c r="C70" t="s">
        <v>66</v>
      </c>
    </row>
    <row r="71" spans="2:4" ht="7.5" customHeight="1"/>
    <row r="72" spans="2:4">
      <c r="C72" s="8" t="s">
        <v>67</v>
      </c>
      <c r="D72" t="s">
        <v>68</v>
      </c>
    </row>
    <row r="73" spans="2:4" ht="7.5" customHeight="1">
      <c r="C73" s="8"/>
    </row>
    <row r="74" spans="2:4">
      <c r="C74" s="8" t="s">
        <v>69</v>
      </c>
      <c r="D74" t="s">
        <v>70</v>
      </c>
    </row>
    <row r="75" spans="2:4" ht="7.5" customHeight="1">
      <c r="C75" s="8"/>
    </row>
    <row r="76" spans="2:4">
      <c r="C76" s="8" t="s">
        <v>71</v>
      </c>
      <c r="D76" t="s">
        <v>72</v>
      </c>
    </row>
    <row r="77" spans="2:4" ht="7.5" customHeight="1">
      <c r="C77" s="8"/>
    </row>
    <row r="78" spans="2:4">
      <c r="C78" s="8" t="s">
        <v>73</v>
      </c>
      <c r="D78" s="18">
        <f>H54</f>
        <v>17.5</v>
      </c>
    </row>
    <row r="79" spans="2:4" ht="7.5" customHeight="1">
      <c r="C79" s="8"/>
    </row>
    <row r="80" spans="2:4">
      <c r="C80" s="8" t="s">
        <v>74</v>
      </c>
      <c r="D80" s="19">
        <f>D15</f>
        <v>11000</v>
      </c>
    </row>
    <row r="81" spans="2:14" ht="7.5" customHeight="1">
      <c r="C81" s="8"/>
    </row>
    <row r="82" spans="2:14">
      <c r="C82" s="8" t="s">
        <v>75</v>
      </c>
      <c r="D82" s="18">
        <f>E16</f>
        <v>125</v>
      </c>
    </row>
    <row r="83" spans="2:14" ht="7.5" customHeight="1">
      <c r="C83" s="8"/>
    </row>
    <row r="84" spans="2:14">
      <c r="C84" s="8" t="s">
        <v>76</v>
      </c>
      <c r="D84" t="s">
        <v>77</v>
      </c>
    </row>
    <row r="85" spans="2:14" ht="7.5" customHeight="1">
      <c r="C85" s="8"/>
    </row>
    <row r="86" spans="2:14">
      <c r="C86" s="114" t="s">
        <v>78</v>
      </c>
      <c r="D86" s="11">
        <f>D78</f>
        <v>17.5</v>
      </c>
      <c r="E86" s="115" t="s">
        <v>79</v>
      </c>
      <c r="F86" s="113">
        <f>D86/D87</f>
        <v>8.75</v>
      </c>
    </row>
    <row r="87" spans="2:14">
      <c r="C87" s="114"/>
      <c r="D87" s="13">
        <v>2</v>
      </c>
      <c r="E87" s="116"/>
      <c r="F87" s="113"/>
    </row>
    <row r="88" spans="2:14" ht="7.5" customHeight="1">
      <c r="C88" s="8"/>
    </row>
    <row r="89" spans="2:14">
      <c r="C89" s="8" t="s">
        <v>80</v>
      </c>
      <c r="D89" s="7">
        <f>D78</f>
        <v>17.5</v>
      </c>
      <c r="E89" s="7" t="s">
        <v>81</v>
      </c>
      <c r="F89" s="7">
        <f>D82</f>
        <v>125</v>
      </c>
      <c r="G89" s="6" t="s">
        <v>79</v>
      </c>
      <c r="H89" s="117">
        <f>D89*F89</f>
        <v>2187.5</v>
      </c>
      <c r="I89" s="117"/>
    </row>
    <row r="90" spans="2:14" ht="7.5" customHeight="1">
      <c r="C90" s="8"/>
    </row>
    <row r="91" spans="2:14">
      <c r="C91" s="114" t="s">
        <v>82</v>
      </c>
      <c r="D91" s="115">
        <f>D82</f>
        <v>125</v>
      </c>
      <c r="E91" s="115" t="s">
        <v>83</v>
      </c>
      <c r="F91" s="11">
        <f>D86</f>
        <v>17.5</v>
      </c>
      <c r="G91" s="115" t="s">
        <v>81</v>
      </c>
      <c r="H91" s="115">
        <f>D82</f>
        <v>125</v>
      </c>
      <c r="I91" s="115" t="s">
        <v>243</v>
      </c>
      <c r="J91" s="127">
        <f>D80</f>
        <v>11000</v>
      </c>
      <c r="K91" s="127"/>
      <c r="L91" s="128" t="s">
        <v>244</v>
      </c>
      <c r="M91" s="125">
        <f>ROUND(D91*(F91/2*D82-D80),0)</f>
        <v>-1238281</v>
      </c>
      <c r="N91" s="125"/>
    </row>
    <row r="92" spans="2:14">
      <c r="C92" s="114"/>
      <c r="D92" s="115"/>
      <c r="E92" s="115"/>
      <c r="F92" s="13">
        <v>2</v>
      </c>
      <c r="G92" s="115"/>
      <c r="H92" s="115"/>
      <c r="I92" s="115"/>
      <c r="J92" s="127"/>
      <c r="K92" s="127"/>
      <c r="L92" s="128"/>
      <c r="M92" s="125"/>
      <c r="N92" s="125"/>
    </row>
    <row r="93" spans="2:14" ht="7.5" customHeight="1"/>
    <row r="94" spans="2:14">
      <c r="B94" t="s">
        <v>84</v>
      </c>
    </row>
    <row r="95" spans="2:14" ht="7.5" customHeight="1"/>
    <row r="96" spans="2:14" ht="15.75">
      <c r="C96" s="114" t="s">
        <v>85</v>
      </c>
      <c r="D96" s="122" t="s">
        <v>141</v>
      </c>
      <c r="E96" s="122"/>
      <c r="F96" s="122"/>
      <c r="G96" s="122"/>
    </row>
    <row r="97" spans="1:10">
      <c r="C97" s="118"/>
      <c r="D97" s="110" t="s">
        <v>86</v>
      </c>
      <c r="E97" s="110"/>
      <c r="F97" s="110"/>
      <c r="G97" s="110"/>
    </row>
    <row r="98" spans="1:10" ht="7.5" customHeight="1"/>
    <row r="99" spans="1:10">
      <c r="C99" s="114" t="s">
        <v>87</v>
      </c>
      <c r="D99" s="122" t="str">
        <f>"－"&amp;H89&amp;"＋　　"&amp;H89&amp;"^2－4×"&amp;F86&amp;"×("&amp;M91&amp;")"</f>
        <v>－2187.5＋　　2187.5^2－4×8.75×(-1238281)</v>
      </c>
      <c r="E99" s="122"/>
      <c r="F99" s="122"/>
      <c r="G99" s="122"/>
      <c r="H99" s="122"/>
      <c r="I99" s="122"/>
      <c r="J99" s="122"/>
    </row>
    <row r="100" spans="1:10">
      <c r="C100" s="114"/>
      <c r="D100" s="123" t="str">
        <f>"2×"&amp;F86&amp;""</f>
        <v>2×8.75</v>
      </c>
      <c r="E100" s="123"/>
      <c r="F100" s="123"/>
      <c r="G100" s="123"/>
      <c r="H100" s="123"/>
      <c r="I100" s="123"/>
      <c r="J100" s="123"/>
    </row>
    <row r="101" spans="1:10" ht="7.5" customHeight="1"/>
    <row r="102" spans="1:10">
      <c r="C102" s="20" t="s">
        <v>2</v>
      </c>
      <c r="D102" s="10">
        <f>ROUND((-H89+(H89^2-4*F86*M91)^(1/2))/(2*F86),1)</f>
        <v>271.39999999999998</v>
      </c>
      <c r="F102" t="s">
        <v>88</v>
      </c>
      <c r="G102" s="10">
        <f>ROUND(D102/60,1)</f>
        <v>4.5</v>
      </c>
      <c r="H102" s="7" t="s">
        <v>89</v>
      </c>
    </row>
    <row r="103" spans="1:10">
      <c r="C103" s="8"/>
      <c r="D103" s="104" t="s">
        <v>219</v>
      </c>
    </row>
    <row r="104" spans="1:10">
      <c r="C104" s="8" t="s">
        <v>220</v>
      </c>
      <c r="D104">
        <f>IF(D102&lt;=120,120,D102)</f>
        <v>271.39999999999998</v>
      </c>
      <c r="F104" t="s">
        <v>221</v>
      </c>
      <c r="G104" t="s">
        <v>245</v>
      </c>
    </row>
    <row r="105" spans="1:10">
      <c r="C105" s="8"/>
    </row>
    <row r="106" spans="1:10">
      <c r="C106" s="8"/>
    </row>
    <row r="107" spans="1:10">
      <c r="A107" t="s">
        <v>90</v>
      </c>
    </row>
    <row r="108" spans="1:10" ht="7.5" customHeight="1"/>
    <row r="109" spans="1:10">
      <c r="C109" s="114" t="s">
        <v>91</v>
      </c>
      <c r="D109" s="121">
        <f>D80</f>
        <v>11000</v>
      </c>
      <c r="E109" s="121"/>
      <c r="F109" s="116" t="s">
        <v>92</v>
      </c>
      <c r="G109" s="124">
        <f>ROUND(D109/(D104+E110),1)</f>
        <v>27.7</v>
      </c>
      <c r="H109" s="118" t="s">
        <v>93</v>
      </c>
      <c r="I109" s="118"/>
    </row>
    <row r="110" spans="1:10">
      <c r="C110" s="114"/>
      <c r="D110" s="8" t="s">
        <v>94</v>
      </c>
      <c r="E110" s="18">
        <f>D82</f>
        <v>125</v>
      </c>
      <c r="F110" s="116"/>
      <c r="G110" s="124"/>
      <c r="H110" s="118"/>
      <c r="I110" s="118"/>
    </row>
    <row r="111" spans="1:10" ht="7.5" customHeight="1"/>
    <row r="112" spans="1:10">
      <c r="C112" s="8" t="s">
        <v>95</v>
      </c>
      <c r="D112" s="115">
        <f>H54</f>
        <v>17.5</v>
      </c>
      <c r="E112" s="115"/>
      <c r="F112" t="s">
        <v>14</v>
      </c>
    </row>
    <row r="113" spans="1:16" ht="7.5" customHeight="1"/>
    <row r="114" spans="1:16">
      <c r="C114" s="8" t="s">
        <v>96</v>
      </c>
      <c r="D114" s="115">
        <f>D104</f>
        <v>271.39999999999998</v>
      </c>
      <c r="E114" s="115"/>
      <c r="F114" t="s">
        <v>97</v>
      </c>
    </row>
    <row r="115" spans="1:16" ht="7.5" customHeight="1"/>
    <row r="116" spans="1:16">
      <c r="C116" s="8" t="s">
        <v>98</v>
      </c>
      <c r="D116" s="115">
        <f>D11</f>
        <v>0.7</v>
      </c>
      <c r="E116" s="115"/>
    </row>
    <row r="117" spans="1:16" ht="7.5" customHeight="1"/>
    <row r="118" spans="1:16">
      <c r="C118" s="8" t="s">
        <v>99</v>
      </c>
      <c r="D118" s="117">
        <f>D9</f>
        <v>0.84499999999999997</v>
      </c>
      <c r="E118" s="117"/>
      <c r="F118" t="s">
        <v>100</v>
      </c>
    </row>
    <row r="119" spans="1:16" ht="7.5" customHeight="1"/>
    <row r="120" spans="1:16" ht="13.5" customHeight="1">
      <c r="C120" s="114" t="s">
        <v>101</v>
      </c>
      <c r="D120" s="118" t="str">
        <f>"（ "&amp;G109&amp;""</f>
        <v>（ 27.7</v>
      </c>
      <c r="E120" s="116" t="s">
        <v>102</v>
      </c>
      <c r="F120" s="11">
        <f>D112</f>
        <v>17.5</v>
      </c>
      <c r="G120" s="115" t="s">
        <v>103</v>
      </c>
      <c r="H120" s="115">
        <v>60</v>
      </c>
      <c r="I120" s="115" t="s">
        <v>104</v>
      </c>
      <c r="J120" s="120">
        <f>D114</f>
        <v>271.39999999999998</v>
      </c>
      <c r="K120" s="119" t="s">
        <v>104</v>
      </c>
      <c r="L120" s="115">
        <f>D116</f>
        <v>0.7</v>
      </c>
      <c r="M120" s="115" t="s">
        <v>104</v>
      </c>
      <c r="N120" s="126">
        <f>D118</f>
        <v>0.84499999999999997</v>
      </c>
      <c r="O120" s="115" t="s">
        <v>104</v>
      </c>
      <c r="P120" s="11">
        <v>1</v>
      </c>
    </row>
    <row r="121" spans="1:16">
      <c r="C121" s="114"/>
      <c r="D121" s="118"/>
      <c r="E121" s="116"/>
      <c r="F121" s="13">
        <v>2</v>
      </c>
      <c r="G121" s="115"/>
      <c r="H121" s="115"/>
      <c r="I121" s="115"/>
      <c r="J121" s="120"/>
      <c r="K121" s="119"/>
      <c r="L121" s="115"/>
      <c r="M121" s="115"/>
      <c r="N121" s="126"/>
      <c r="O121" s="115"/>
      <c r="P121" s="12">
        <v>360</v>
      </c>
    </row>
    <row r="122" spans="1:16" ht="7.5" customHeight="1">
      <c r="C122" s="8"/>
    </row>
    <row r="123" spans="1:16" ht="13.5" customHeight="1">
      <c r="C123" s="114" t="s">
        <v>105</v>
      </c>
      <c r="D123" s="118">
        <f>ROUND((G109-F120/2)*H120*J120*L120*N120*P120/P121,0)</f>
        <v>507</v>
      </c>
      <c r="E123" s="118" t="s">
        <v>106</v>
      </c>
    </row>
    <row r="124" spans="1:16">
      <c r="C124" s="114"/>
      <c r="D124" s="118"/>
      <c r="E124" s="118"/>
    </row>
    <row r="126" spans="1:16">
      <c r="A126" t="s">
        <v>107</v>
      </c>
    </row>
    <row r="127" spans="1:16" ht="7.5" customHeight="1"/>
    <row r="128" spans="1:16" ht="16.5">
      <c r="C128" s="8" t="s">
        <v>222</v>
      </c>
      <c r="D128">
        <v>1.1000000000000001</v>
      </c>
      <c r="E128" t="s">
        <v>109</v>
      </c>
    </row>
    <row r="129" spans="1:12" ht="7.5" customHeight="1"/>
    <row r="130" spans="1:12">
      <c r="D130">
        <v>1.1000000000000001</v>
      </c>
      <c r="E130" s="7" t="s">
        <v>110</v>
      </c>
      <c r="F130" s="7">
        <f>D123</f>
        <v>507</v>
      </c>
      <c r="G130" s="7" t="s">
        <v>111</v>
      </c>
      <c r="H130" s="7">
        <f>ROUNDUP(D130*F130,-1)</f>
        <v>560</v>
      </c>
    </row>
    <row r="131" spans="1:12" ht="7.5" customHeight="1"/>
    <row r="132" spans="1:12">
      <c r="C132" s="8" t="s">
        <v>223</v>
      </c>
      <c r="D132">
        <f>H130</f>
        <v>560</v>
      </c>
      <c r="E132" s="7" t="s">
        <v>112</v>
      </c>
    </row>
    <row r="135" spans="1:12">
      <c r="A135" t="s">
        <v>224</v>
      </c>
    </row>
    <row r="137" spans="1:12">
      <c r="C137" t="s">
        <v>225</v>
      </c>
      <c r="J137" s="8" t="s">
        <v>246</v>
      </c>
      <c r="K137" s="6" t="s">
        <v>2</v>
      </c>
      <c r="L137" s="105">
        <f>ROUNDUP((D132/L139+L138*L139/2-L139*L139)/(L138-L139),0)</f>
        <v>19</v>
      </c>
    </row>
    <row r="138" spans="1:12">
      <c r="C138" t="s">
        <v>171</v>
      </c>
      <c r="F138" s="7" t="s">
        <v>170</v>
      </c>
      <c r="G138" t="s">
        <v>226</v>
      </c>
      <c r="J138" s="8" t="s">
        <v>247</v>
      </c>
      <c r="K138" s="7" t="s">
        <v>248</v>
      </c>
      <c r="L138" s="105">
        <f>J15</f>
        <v>18</v>
      </c>
    </row>
    <row r="139" spans="1:12">
      <c r="C139" t="s">
        <v>172</v>
      </c>
      <c r="F139" s="7" t="s">
        <v>173</v>
      </c>
      <c r="G139" t="s">
        <v>227</v>
      </c>
      <c r="J139" s="8" t="s">
        <v>249</v>
      </c>
      <c r="K139" s="7" t="s">
        <v>248</v>
      </c>
      <c r="L139" s="105">
        <f>J9</f>
        <v>2</v>
      </c>
    </row>
  </sheetData>
  <mergeCells count="69">
    <mergeCell ref="J18:O19"/>
    <mergeCell ref="D9:E9"/>
    <mergeCell ref="D11:E11"/>
    <mergeCell ref="D24:E24"/>
    <mergeCell ref="J16:O17"/>
    <mergeCell ref="D52:E52"/>
    <mergeCell ref="C15:C16"/>
    <mergeCell ref="I36:I37"/>
    <mergeCell ref="D15:E15"/>
    <mergeCell ref="F15:G16"/>
    <mergeCell ref="F24:G24"/>
    <mergeCell ref="C30:G31"/>
    <mergeCell ref="D20:E20"/>
    <mergeCell ref="C96:C97"/>
    <mergeCell ref="L36:L37"/>
    <mergeCell ref="I39:I40"/>
    <mergeCell ref="L39:L40"/>
    <mergeCell ref="C51:C52"/>
    <mergeCell ref="J36:K36"/>
    <mergeCell ref="J37:K37"/>
    <mergeCell ref="J39:K39"/>
    <mergeCell ref="J40:K40"/>
    <mergeCell ref="D51:E51"/>
    <mergeCell ref="C54:C55"/>
    <mergeCell ref="G54:G55"/>
    <mergeCell ref="H54:H55"/>
    <mergeCell ref="I54:J55"/>
    <mergeCell ref="H91:H92"/>
    <mergeCell ref="I91:I92"/>
    <mergeCell ref="J91:K92"/>
    <mergeCell ref="G91:G92"/>
    <mergeCell ref="D116:E116"/>
    <mergeCell ref="M91:N92"/>
    <mergeCell ref="O120:O121"/>
    <mergeCell ref="N120:N121"/>
    <mergeCell ref="M120:M121"/>
    <mergeCell ref="L120:L121"/>
    <mergeCell ref="L91:L92"/>
    <mergeCell ref="C99:C100"/>
    <mergeCell ref="C109:C110"/>
    <mergeCell ref="D109:E109"/>
    <mergeCell ref="D99:J99"/>
    <mergeCell ref="D100:J100"/>
    <mergeCell ref="G109:G110"/>
    <mergeCell ref="F109:F110"/>
    <mergeCell ref="K120:K121"/>
    <mergeCell ref="J120:J121"/>
    <mergeCell ref="I120:I121"/>
    <mergeCell ref="H120:H121"/>
    <mergeCell ref="C123:C124"/>
    <mergeCell ref="E123:E124"/>
    <mergeCell ref="C120:C121"/>
    <mergeCell ref="D120:D121"/>
    <mergeCell ref="H89:I89"/>
    <mergeCell ref="D123:D124"/>
    <mergeCell ref="G120:G121"/>
    <mergeCell ref="E120:E121"/>
    <mergeCell ref="D118:E118"/>
    <mergeCell ref="D112:E112"/>
    <mergeCell ref="D114:E114"/>
    <mergeCell ref="H109:I110"/>
    <mergeCell ref="D96:G96"/>
    <mergeCell ref="D97:G97"/>
    <mergeCell ref="F86:F87"/>
    <mergeCell ref="C86:C87"/>
    <mergeCell ref="D91:D92"/>
    <mergeCell ref="E91:E92"/>
    <mergeCell ref="C91:C92"/>
    <mergeCell ref="E86:E87"/>
  </mergeCells>
  <phoneticPr fontId="2"/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5"/>
  <sheetViews>
    <sheetView zoomScaleNormal="100" workbookViewId="0">
      <selection activeCell="D9" sqref="D9:E9"/>
    </sheetView>
  </sheetViews>
  <sheetFormatPr defaultRowHeight="13.5"/>
  <cols>
    <col min="1" max="1" width="7.5" customWidth="1"/>
    <col min="3" max="4" width="6.25" customWidth="1"/>
    <col min="5" max="5" width="5.25" customWidth="1"/>
    <col min="6" max="6" width="6.25" customWidth="1"/>
    <col min="7" max="7" width="5" customWidth="1"/>
    <col min="8" max="8" width="6.875" customWidth="1"/>
    <col min="9" max="9" width="5" customWidth="1"/>
    <col min="10" max="10" width="6.875" customWidth="1"/>
    <col min="11" max="11" width="5" customWidth="1"/>
    <col min="12" max="12" width="6.875" customWidth="1"/>
    <col min="13" max="13" width="5" customWidth="1"/>
    <col min="14" max="14" width="6.875" customWidth="1"/>
    <col min="15" max="15" width="5" customWidth="1"/>
    <col min="16" max="16" width="6.875" customWidth="1"/>
    <col min="17" max="17" width="6.25" customWidth="1"/>
  </cols>
  <sheetData>
    <row r="1" spans="1:7">
      <c r="A1" t="s">
        <v>3</v>
      </c>
    </row>
    <row r="3" spans="1:7">
      <c r="B3" t="s">
        <v>4</v>
      </c>
    </row>
    <row r="4" spans="1:7" ht="7.5" customHeight="1"/>
    <row r="5" spans="1:7">
      <c r="B5" t="s">
        <v>5</v>
      </c>
    </row>
    <row r="7" spans="1:7">
      <c r="A7" t="s">
        <v>6</v>
      </c>
    </row>
    <row r="9" spans="1:7">
      <c r="B9" t="s">
        <v>7</v>
      </c>
      <c r="C9" s="8" t="s">
        <v>8</v>
      </c>
      <c r="D9" s="133">
        <v>0.84499999999999997</v>
      </c>
      <c r="E9" s="134"/>
      <c r="F9" s="8" t="s">
        <v>9</v>
      </c>
    </row>
    <row r="10" spans="1:7" ht="7.5" customHeight="1">
      <c r="C10" s="8"/>
    </row>
    <row r="11" spans="1:7">
      <c r="B11" t="s">
        <v>10</v>
      </c>
      <c r="C11" s="8" t="s">
        <v>11</v>
      </c>
      <c r="D11" s="135">
        <v>0.7</v>
      </c>
      <c r="E11" s="136"/>
    </row>
    <row r="12" spans="1:7" ht="7.5" customHeight="1">
      <c r="C12" s="8"/>
    </row>
    <row r="13" spans="1:7">
      <c r="B13" t="s">
        <v>12</v>
      </c>
      <c r="C13" s="8" t="s">
        <v>13</v>
      </c>
      <c r="D13" s="9" t="s">
        <v>14</v>
      </c>
      <c r="E13" s="9"/>
      <c r="F13" t="s">
        <v>15</v>
      </c>
    </row>
    <row r="14" spans="1:7" ht="7.5" customHeight="1"/>
    <row r="15" spans="1:7">
      <c r="C15" s="114" t="s">
        <v>16</v>
      </c>
      <c r="D15" s="121">
        <v>11000</v>
      </c>
      <c r="E15" s="121"/>
      <c r="F15" s="114" t="s">
        <v>17</v>
      </c>
      <c r="G15" s="114"/>
    </row>
    <row r="16" spans="1:7">
      <c r="C16" s="114"/>
      <c r="D16" s="8" t="s">
        <v>215</v>
      </c>
      <c r="E16" s="18">
        <v>125</v>
      </c>
      <c r="F16" s="114"/>
      <c r="G16" s="114"/>
    </row>
    <row r="17" spans="1:8" ht="7.5" customHeight="1"/>
    <row r="18" spans="1:8">
      <c r="B18" t="s">
        <v>18</v>
      </c>
      <c r="D18" s="137">
        <v>0.01</v>
      </c>
      <c r="E18" s="138"/>
      <c r="F18" s="114" t="s">
        <v>133</v>
      </c>
      <c r="G18" s="114"/>
    </row>
    <row r="19" spans="1:8" ht="7.5" customHeight="1">
      <c r="G19" s="8"/>
      <c r="H19" s="10"/>
    </row>
    <row r="20" spans="1:8">
      <c r="C20" s="8" t="s">
        <v>130</v>
      </c>
      <c r="D20" t="s">
        <v>131</v>
      </c>
      <c r="G20" s="8"/>
      <c r="H20" s="10"/>
    </row>
    <row r="21" spans="1:8" ht="7.5" customHeight="1">
      <c r="C21" s="8"/>
      <c r="G21" s="8"/>
      <c r="H21" s="10"/>
    </row>
    <row r="22" spans="1:8">
      <c r="C22" s="8"/>
    </row>
    <row r="23" spans="1:8">
      <c r="C23" s="8"/>
    </row>
    <row r="24" spans="1:8">
      <c r="A24" t="s">
        <v>27</v>
      </c>
    </row>
    <row r="25" spans="1:8" ht="7.5" customHeight="1"/>
    <row r="26" spans="1:8">
      <c r="B26" t="s">
        <v>28</v>
      </c>
    </row>
    <row r="27" spans="1:8" ht="7.5" customHeight="1"/>
    <row r="28" spans="1:8">
      <c r="C28" s="114" t="s">
        <v>29</v>
      </c>
      <c r="D28" s="114"/>
      <c r="E28" s="114"/>
      <c r="F28" s="114"/>
      <c r="G28" s="114"/>
      <c r="H28" s="11">
        <v>1</v>
      </c>
    </row>
    <row r="29" spans="1:8">
      <c r="C29" s="114"/>
      <c r="D29" s="114"/>
      <c r="E29" s="114"/>
      <c r="F29" s="114"/>
      <c r="G29" s="114"/>
      <c r="H29" s="12">
        <v>360</v>
      </c>
    </row>
    <row r="30" spans="1:8" ht="7.5" customHeight="1"/>
    <row r="31" spans="1:8" ht="16.5">
      <c r="B31" s="8" t="s">
        <v>30</v>
      </c>
      <c r="C31" s="8" t="s">
        <v>31</v>
      </c>
      <c r="D31" t="s">
        <v>32</v>
      </c>
    </row>
    <row r="32" spans="1:8" ht="7.5" customHeight="1"/>
    <row r="33" spans="1:12">
      <c r="C33" s="8" t="s">
        <v>33</v>
      </c>
      <c r="D33" t="s">
        <v>34</v>
      </c>
    </row>
    <row r="34" spans="1:12">
      <c r="C34" s="8"/>
      <c r="I34" s="114" t="s">
        <v>35</v>
      </c>
      <c r="J34" s="129" t="s">
        <v>36</v>
      </c>
      <c r="K34" s="129"/>
      <c r="L34" s="118" t="s">
        <v>37</v>
      </c>
    </row>
    <row r="35" spans="1:12" ht="15.75">
      <c r="I35" s="114"/>
      <c r="J35" s="110" t="s">
        <v>38</v>
      </c>
      <c r="K35" s="110"/>
      <c r="L35" s="118"/>
    </row>
    <row r="36" spans="1:12">
      <c r="C36" s="8" t="s">
        <v>39</v>
      </c>
      <c r="D36" t="s">
        <v>40</v>
      </c>
    </row>
    <row r="37" spans="1:12">
      <c r="C37" s="8"/>
      <c r="I37" s="114" t="s">
        <v>41</v>
      </c>
      <c r="J37" s="129" t="s">
        <v>42</v>
      </c>
      <c r="K37" s="129"/>
      <c r="L37" s="118" t="s">
        <v>43</v>
      </c>
    </row>
    <row r="38" spans="1:12">
      <c r="I38" s="114"/>
      <c r="J38" s="110" t="s">
        <v>44</v>
      </c>
      <c r="K38" s="110"/>
      <c r="L38" s="118"/>
    </row>
    <row r="39" spans="1:12">
      <c r="C39" s="8" t="s">
        <v>45</v>
      </c>
      <c r="D39" t="s">
        <v>46</v>
      </c>
    </row>
    <row r="40" spans="1:12">
      <c r="G40" t="s">
        <v>128</v>
      </c>
    </row>
    <row r="41" spans="1:12">
      <c r="C41" s="8" t="s">
        <v>134</v>
      </c>
      <c r="D41" t="s">
        <v>47</v>
      </c>
    </row>
    <row r="42" spans="1:12" ht="7.5" customHeight="1"/>
    <row r="43" spans="1:12">
      <c r="C43" s="8" t="s">
        <v>48</v>
      </c>
      <c r="D43" t="s">
        <v>10</v>
      </c>
    </row>
    <row r="44" spans="1:12" ht="7.5" customHeight="1"/>
    <row r="45" spans="1:12">
      <c r="C45" s="8" t="s">
        <v>49</v>
      </c>
      <c r="D45" t="s">
        <v>50</v>
      </c>
    </row>
    <row r="46" spans="1:12">
      <c r="C46" s="8"/>
    </row>
    <row r="47" spans="1:12" ht="13.5" customHeight="1"/>
    <row r="48" spans="1:12">
      <c r="A48" t="s">
        <v>51</v>
      </c>
    </row>
    <row r="49" spans="1:10" ht="7.5" customHeight="1"/>
    <row r="50" spans="1:10">
      <c r="C50" s="114" t="s">
        <v>52</v>
      </c>
      <c r="D50" s="129" t="s">
        <v>42</v>
      </c>
      <c r="E50" s="129"/>
    </row>
    <row r="51" spans="1:10">
      <c r="C51" s="114"/>
      <c r="D51" s="110" t="s">
        <v>53</v>
      </c>
      <c r="E51" s="110"/>
    </row>
    <row r="52" spans="1:10" ht="7.5" customHeight="1"/>
    <row r="53" spans="1:10">
      <c r="C53" s="114" t="s">
        <v>52</v>
      </c>
      <c r="D53" s="14">
        <v>360</v>
      </c>
      <c r="E53" s="11" t="s">
        <v>54</v>
      </c>
      <c r="F53" s="15">
        <f>D18</f>
        <v>0.01</v>
      </c>
      <c r="G53" s="116" t="s">
        <v>55</v>
      </c>
      <c r="H53" s="115">
        <f>ROUND((D53*F53)/(D54*F54),1)</f>
        <v>6.1</v>
      </c>
      <c r="I53" s="118" t="s">
        <v>56</v>
      </c>
      <c r="J53" s="118"/>
    </row>
    <row r="54" spans="1:10">
      <c r="C54" s="114"/>
      <c r="D54" s="16">
        <f>D11</f>
        <v>0.7</v>
      </c>
      <c r="E54" s="12" t="s">
        <v>54</v>
      </c>
      <c r="F54" s="17">
        <f>D9</f>
        <v>0.84499999999999997</v>
      </c>
      <c r="G54" s="115"/>
      <c r="H54" s="115"/>
      <c r="I54" s="118"/>
      <c r="J54" s="118"/>
    </row>
    <row r="55" spans="1:10">
      <c r="C55" s="8"/>
      <c r="D55" s="9"/>
      <c r="E55" s="13"/>
      <c r="F55" s="51"/>
      <c r="G55" s="7"/>
      <c r="H55" s="7"/>
      <c r="I55" s="23"/>
      <c r="J55" s="23"/>
    </row>
    <row r="57" spans="1:10">
      <c r="A57" t="s">
        <v>57</v>
      </c>
    </row>
    <row r="59" spans="1:10">
      <c r="B59" t="s">
        <v>58</v>
      </c>
    </row>
    <row r="60" spans="1:10" ht="7.5" customHeight="1"/>
    <row r="61" spans="1:10">
      <c r="B61" s="8" t="s">
        <v>59</v>
      </c>
      <c r="C61" s="8" t="s">
        <v>60</v>
      </c>
      <c r="D61" t="s">
        <v>61</v>
      </c>
    </row>
    <row r="62" spans="1:10">
      <c r="C62" s="8" t="s">
        <v>60</v>
      </c>
      <c r="D62" t="s">
        <v>62</v>
      </c>
    </row>
    <row r="63" spans="1:10" ht="10.5" customHeight="1"/>
    <row r="64" spans="1:10">
      <c r="C64" t="s">
        <v>63</v>
      </c>
    </row>
    <row r="65" spans="2:4" ht="7.5" customHeight="1"/>
    <row r="66" spans="2:4">
      <c r="B66" s="18"/>
      <c r="C66" t="s">
        <v>64</v>
      </c>
    </row>
    <row r="67" spans="2:4" ht="13.5" customHeight="1">
      <c r="B67" s="18"/>
    </row>
    <row r="68" spans="2:4">
      <c r="B68" t="s">
        <v>65</v>
      </c>
    </row>
    <row r="69" spans="2:4" ht="13.5" customHeight="1"/>
    <row r="70" spans="2:4">
      <c r="C70" t="s">
        <v>66</v>
      </c>
    </row>
    <row r="71" spans="2:4" ht="7.5" customHeight="1"/>
    <row r="72" spans="2:4">
      <c r="C72" s="8" t="s">
        <v>67</v>
      </c>
      <c r="D72" t="s">
        <v>68</v>
      </c>
    </row>
    <row r="73" spans="2:4" ht="7.5" customHeight="1">
      <c r="C73" s="8"/>
    </row>
    <row r="74" spans="2:4">
      <c r="C74" s="8" t="s">
        <v>69</v>
      </c>
      <c r="D74" t="s">
        <v>70</v>
      </c>
    </row>
    <row r="75" spans="2:4" ht="7.5" customHeight="1">
      <c r="C75" s="8"/>
    </row>
    <row r="76" spans="2:4">
      <c r="C76" s="8" t="s">
        <v>71</v>
      </c>
      <c r="D76" t="s">
        <v>72</v>
      </c>
    </row>
    <row r="77" spans="2:4" ht="7.5" customHeight="1">
      <c r="C77" s="8"/>
    </row>
    <row r="78" spans="2:4">
      <c r="C78" s="8" t="s">
        <v>73</v>
      </c>
      <c r="D78" s="18">
        <f>H53</f>
        <v>6.1</v>
      </c>
    </row>
    <row r="79" spans="2:4" ht="7.5" customHeight="1">
      <c r="C79" s="8"/>
    </row>
    <row r="80" spans="2:4">
      <c r="C80" s="8" t="s">
        <v>74</v>
      </c>
      <c r="D80" s="19">
        <f>D15</f>
        <v>11000</v>
      </c>
    </row>
    <row r="81" spans="2:14" ht="7.5" customHeight="1">
      <c r="C81" s="8"/>
    </row>
    <row r="82" spans="2:14">
      <c r="C82" s="8" t="s">
        <v>75</v>
      </c>
      <c r="D82" s="18">
        <f>E16</f>
        <v>125</v>
      </c>
    </row>
    <row r="83" spans="2:14" ht="7.5" customHeight="1">
      <c r="C83" s="8"/>
    </row>
    <row r="84" spans="2:14">
      <c r="C84" s="8" t="s">
        <v>76</v>
      </c>
      <c r="D84" t="s">
        <v>132</v>
      </c>
    </row>
    <row r="85" spans="2:14" ht="7.5" customHeight="1">
      <c r="C85" s="8"/>
    </row>
    <row r="86" spans="2:14">
      <c r="C86" s="8" t="s">
        <v>135</v>
      </c>
      <c r="D86" s="13">
        <f>D78</f>
        <v>6.1</v>
      </c>
      <c r="E86" s="24"/>
      <c r="F86" s="18"/>
    </row>
    <row r="87" spans="2:14" ht="7.5" customHeight="1">
      <c r="C87" s="8"/>
    </row>
    <row r="88" spans="2:14">
      <c r="C88" s="8" t="s">
        <v>136</v>
      </c>
      <c r="D88" s="7">
        <v>2</v>
      </c>
      <c r="E88" s="7" t="s">
        <v>137</v>
      </c>
      <c r="F88" s="7">
        <f>D78</f>
        <v>6.1</v>
      </c>
      <c r="G88" s="7" t="s">
        <v>137</v>
      </c>
      <c r="H88" s="7">
        <f>D82</f>
        <v>125</v>
      </c>
      <c r="I88" s="6" t="s">
        <v>138</v>
      </c>
      <c r="J88" s="117">
        <f>2*F88*H88</f>
        <v>1525</v>
      </c>
      <c r="K88" s="117"/>
    </row>
    <row r="89" spans="2:14" ht="7.5" customHeight="1">
      <c r="C89" s="8"/>
    </row>
    <row r="90" spans="2:14">
      <c r="C90" s="8" t="s">
        <v>139</v>
      </c>
      <c r="D90" s="7">
        <f>D82</f>
        <v>125</v>
      </c>
      <c r="E90" s="7" t="s">
        <v>140</v>
      </c>
      <c r="F90" s="13">
        <f>D86</f>
        <v>6.1</v>
      </c>
      <c r="G90" s="7" t="s">
        <v>137</v>
      </c>
      <c r="H90" s="7">
        <f>D82</f>
        <v>125</v>
      </c>
      <c r="I90" s="7" t="s">
        <v>217</v>
      </c>
      <c r="J90" s="127">
        <f>D80</f>
        <v>11000</v>
      </c>
      <c r="K90" s="127"/>
      <c r="L90" t="s">
        <v>218</v>
      </c>
      <c r="M90" s="125">
        <f>ROUND(D90*(F90*D82-D80),0)</f>
        <v>-1279688</v>
      </c>
      <c r="N90" s="125"/>
    </row>
    <row r="91" spans="2:14" ht="7.5" customHeight="1"/>
    <row r="92" spans="2:14">
      <c r="B92" t="s">
        <v>84</v>
      </c>
    </row>
    <row r="93" spans="2:14" ht="7.5" customHeight="1"/>
    <row r="94" spans="2:14" ht="15.75">
      <c r="C94" s="114" t="s">
        <v>85</v>
      </c>
      <c r="D94" s="122" t="s">
        <v>141</v>
      </c>
      <c r="E94" s="122"/>
      <c r="F94" s="122"/>
      <c r="G94" s="122"/>
    </row>
    <row r="95" spans="2:14">
      <c r="C95" s="118"/>
      <c r="D95" s="110" t="s">
        <v>86</v>
      </c>
      <c r="E95" s="110"/>
      <c r="F95" s="110"/>
      <c r="G95" s="110"/>
    </row>
    <row r="96" spans="2:14" ht="7.5" customHeight="1"/>
    <row r="97" spans="1:10">
      <c r="C97" s="114" t="s">
        <v>87</v>
      </c>
      <c r="D97" s="122" t="str">
        <f>"－"&amp;J88&amp;"＋　　"&amp;J88&amp;"^2－4×"&amp;D86&amp;"×("&amp;M90&amp;")"</f>
        <v>－1525＋　　1525^2－4×6.1×(-1279688)</v>
      </c>
      <c r="E97" s="122"/>
      <c r="F97" s="122"/>
      <c r="G97" s="122"/>
      <c r="H97" s="122"/>
      <c r="I97" s="122"/>
      <c r="J97" s="122"/>
    </row>
    <row r="98" spans="1:10">
      <c r="C98" s="114"/>
      <c r="D98" s="110" t="str">
        <f>"2×"&amp;D86&amp;""</f>
        <v>2×6.1</v>
      </c>
      <c r="E98" s="110"/>
      <c r="F98" s="110"/>
      <c r="G98" s="110"/>
      <c r="H98" s="110"/>
      <c r="I98" s="110"/>
      <c r="J98" s="110"/>
    </row>
    <row r="99" spans="1:10" ht="7.5" customHeight="1"/>
    <row r="100" spans="1:10">
      <c r="C100" s="20" t="s">
        <v>2</v>
      </c>
      <c r="D100" s="10">
        <f>ROUND((-J88+(J88^2-4*D86*M90)^(1/2))/(2*D86),1)</f>
        <v>349.8</v>
      </c>
      <c r="F100" t="s">
        <v>88</v>
      </c>
      <c r="G100" s="10">
        <f>ROUND(D100/60,1)</f>
        <v>5.8</v>
      </c>
      <c r="H100" s="7" t="s">
        <v>89</v>
      </c>
    </row>
    <row r="101" spans="1:10">
      <c r="C101" s="8"/>
      <c r="D101" s="104" t="s">
        <v>219</v>
      </c>
    </row>
    <row r="102" spans="1:10">
      <c r="C102" s="8" t="s">
        <v>220</v>
      </c>
      <c r="D102">
        <f>IF(D100&lt;=120,120,D100)</f>
        <v>349.8</v>
      </c>
      <c r="F102" t="s">
        <v>221</v>
      </c>
      <c r="G102" t="s">
        <v>252</v>
      </c>
    </row>
    <row r="103" spans="1:10">
      <c r="C103" s="8"/>
    </row>
    <row r="104" spans="1:10">
      <c r="C104" s="8"/>
    </row>
    <row r="105" spans="1:10">
      <c r="A105" t="s">
        <v>90</v>
      </c>
    </row>
    <row r="106" spans="1:10" ht="7.5" customHeight="1"/>
    <row r="107" spans="1:10">
      <c r="C107" s="114" t="s">
        <v>91</v>
      </c>
      <c r="D107" s="121">
        <f>D80</f>
        <v>11000</v>
      </c>
      <c r="E107" s="129"/>
      <c r="F107" s="116" t="s">
        <v>92</v>
      </c>
      <c r="G107" s="124">
        <f>ROUND(D107/(D102+E108),1)</f>
        <v>23.2</v>
      </c>
      <c r="H107" s="118" t="s">
        <v>93</v>
      </c>
      <c r="I107" s="118"/>
    </row>
    <row r="108" spans="1:10">
      <c r="C108" s="114"/>
      <c r="D108" s="8" t="s">
        <v>94</v>
      </c>
      <c r="E108" s="18">
        <f>D82</f>
        <v>125</v>
      </c>
      <c r="F108" s="115"/>
      <c r="G108" s="124"/>
      <c r="H108" s="118"/>
      <c r="I108" s="118"/>
    </row>
    <row r="109" spans="1:10" ht="7.5" customHeight="1"/>
    <row r="110" spans="1:10">
      <c r="C110" s="8" t="s">
        <v>95</v>
      </c>
      <c r="D110" s="115">
        <f>H53</f>
        <v>6.1</v>
      </c>
      <c r="E110" s="115"/>
      <c r="F110" t="s">
        <v>14</v>
      </c>
    </row>
    <row r="111" spans="1:10" ht="7.5" customHeight="1"/>
    <row r="112" spans="1:10">
      <c r="C112" s="8" t="s">
        <v>96</v>
      </c>
      <c r="D112" s="115">
        <f>D102</f>
        <v>349.8</v>
      </c>
      <c r="E112" s="115"/>
      <c r="F112" t="s">
        <v>97</v>
      </c>
    </row>
    <row r="113" spans="1:16" ht="7.5" customHeight="1"/>
    <row r="114" spans="1:16">
      <c r="C114" s="8" t="s">
        <v>98</v>
      </c>
      <c r="D114" s="115">
        <f>D11</f>
        <v>0.7</v>
      </c>
      <c r="E114" s="115"/>
    </row>
    <row r="115" spans="1:16" ht="7.5" customHeight="1"/>
    <row r="116" spans="1:16">
      <c r="C116" s="8" t="s">
        <v>99</v>
      </c>
      <c r="D116" s="117">
        <f>D9</f>
        <v>0.84499999999999997</v>
      </c>
      <c r="E116" s="117"/>
      <c r="F116" t="s">
        <v>100</v>
      </c>
    </row>
    <row r="117" spans="1:16" ht="7.5" customHeight="1"/>
    <row r="118" spans="1:16" ht="13.5" customHeight="1">
      <c r="C118" s="114" t="s">
        <v>101</v>
      </c>
      <c r="D118" s="118" t="str">
        <f>"（ "&amp;G107&amp;""</f>
        <v>（ 23.2</v>
      </c>
      <c r="E118" s="116" t="s">
        <v>102</v>
      </c>
      <c r="F118" s="110">
        <f>D110</f>
        <v>6.1</v>
      </c>
      <c r="G118" s="115" t="s">
        <v>103</v>
      </c>
      <c r="H118" s="115">
        <v>60</v>
      </c>
      <c r="I118" s="115" t="s">
        <v>104</v>
      </c>
      <c r="J118" s="120">
        <f>D112</f>
        <v>349.8</v>
      </c>
      <c r="K118" s="119" t="s">
        <v>104</v>
      </c>
      <c r="L118" s="115">
        <f>D114</f>
        <v>0.7</v>
      </c>
      <c r="M118" s="115" t="s">
        <v>104</v>
      </c>
      <c r="N118" s="126">
        <f>D116</f>
        <v>0.84499999999999997</v>
      </c>
      <c r="O118" s="115" t="s">
        <v>104</v>
      </c>
      <c r="P118" s="11">
        <v>1</v>
      </c>
    </row>
    <row r="119" spans="1:16">
      <c r="C119" s="114"/>
      <c r="D119" s="118"/>
      <c r="E119" s="116"/>
      <c r="F119" s="110"/>
      <c r="G119" s="115"/>
      <c r="H119" s="115"/>
      <c r="I119" s="115"/>
      <c r="J119" s="120"/>
      <c r="K119" s="119"/>
      <c r="L119" s="115"/>
      <c r="M119" s="115"/>
      <c r="N119" s="126"/>
      <c r="O119" s="115"/>
      <c r="P119" s="12">
        <v>360</v>
      </c>
    </row>
    <row r="120" spans="1:16" ht="7.5" customHeight="1">
      <c r="C120" s="8"/>
    </row>
    <row r="121" spans="1:16">
      <c r="C121" s="114" t="s">
        <v>105</v>
      </c>
      <c r="D121" s="118">
        <f>ROUND((G107-F118)*H118*J118*L118*N118*P118/P119,0)</f>
        <v>590</v>
      </c>
      <c r="E121" s="118" t="s">
        <v>106</v>
      </c>
    </row>
    <row r="122" spans="1:16">
      <c r="C122" s="114"/>
      <c r="D122" s="118"/>
      <c r="E122" s="118"/>
    </row>
    <row r="125" spans="1:16">
      <c r="A125" t="s">
        <v>107</v>
      </c>
    </row>
    <row r="126" spans="1:16" ht="7.5" customHeight="1"/>
    <row r="127" spans="1:16" ht="16.5">
      <c r="C127" s="8" t="s">
        <v>222</v>
      </c>
      <c r="D127">
        <v>1.1000000000000001</v>
      </c>
      <c r="E127" t="s">
        <v>109</v>
      </c>
    </row>
    <row r="128" spans="1:16" ht="7.5" customHeight="1"/>
    <row r="129" spans="1:15">
      <c r="D129">
        <v>1.1000000000000001</v>
      </c>
      <c r="E129" s="7" t="s">
        <v>110</v>
      </c>
      <c r="F129" s="7">
        <f>D121</f>
        <v>590</v>
      </c>
      <c r="G129" s="7" t="s">
        <v>111</v>
      </c>
      <c r="H129" s="7">
        <f>ROUNDUP(D129*F129,-1)</f>
        <v>650</v>
      </c>
    </row>
    <row r="130" spans="1:15" ht="7.5" customHeight="1"/>
    <row r="131" spans="1:15">
      <c r="C131" s="8" t="s">
        <v>223</v>
      </c>
      <c r="D131">
        <f>H129</f>
        <v>650</v>
      </c>
      <c r="E131" s="7" t="s">
        <v>112</v>
      </c>
      <c r="G131" s="107" t="s">
        <v>255</v>
      </c>
    </row>
    <row r="132" spans="1:15">
      <c r="G132" s="107" t="s">
        <v>256</v>
      </c>
    </row>
    <row r="134" spans="1:15">
      <c r="A134" t="s">
        <v>125</v>
      </c>
    </row>
    <row r="135" spans="1:15">
      <c r="L135" t="s">
        <v>253</v>
      </c>
    </row>
    <row r="136" spans="1:15">
      <c r="D136" s="8" t="s">
        <v>250</v>
      </c>
      <c r="E136" s="7" t="s">
        <v>145</v>
      </c>
      <c r="F136" s="7" t="s">
        <v>143</v>
      </c>
      <c r="G136" s="7" t="s">
        <v>144</v>
      </c>
      <c r="H136" s="7" t="s">
        <v>142</v>
      </c>
      <c r="I136" s="6" t="s">
        <v>145</v>
      </c>
      <c r="J136" s="7">
        <f>D131</f>
        <v>650</v>
      </c>
      <c r="K136" s="7" t="s">
        <v>144</v>
      </c>
      <c r="L136" s="106">
        <v>2</v>
      </c>
      <c r="M136" s="6" t="s">
        <v>145</v>
      </c>
      <c r="N136" s="7">
        <f>ROUND(J136/L136,0)</f>
        <v>325</v>
      </c>
      <c r="O136" t="s">
        <v>146</v>
      </c>
    </row>
    <row r="137" spans="1:15">
      <c r="F137" s="7"/>
      <c r="G137" s="7"/>
      <c r="H137" s="7"/>
    </row>
    <row r="138" spans="1:15">
      <c r="D138" s="8" t="s">
        <v>174</v>
      </c>
      <c r="E138" s="7" t="s">
        <v>145</v>
      </c>
      <c r="F138" s="10">
        <f>SQRT(N136)</f>
        <v>18.027756377319946</v>
      </c>
      <c r="G138" t="s">
        <v>147</v>
      </c>
      <c r="H138" s="8" t="s">
        <v>148</v>
      </c>
      <c r="I138" s="6" t="s">
        <v>145</v>
      </c>
      <c r="J138" s="10">
        <f>ROUNDUP(F138+L136,0)</f>
        <v>21</v>
      </c>
      <c r="K138" t="s">
        <v>147</v>
      </c>
      <c r="L138" s="8" t="s">
        <v>149</v>
      </c>
      <c r="M138" s="6" t="s">
        <v>145</v>
      </c>
      <c r="N138" s="10">
        <f>J138-2*L136</f>
        <v>17</v>
      </c>
      <c r="O138" t="s">
        <v>147</v>
      </c>
    </row>
    <row r="139" spans="1:15">
      <c r="E139" s="7"/>
      <c r="H139" s="8" t="s">
        <v>150</v>
      </c>
      <c r="I139" s="6" t="s">
        <v>145</v>
      </c>
      <c r="J139" s="10">
        <f>J138</f>
        <v>21</v>
      </c>
      <c r="K139" t="s">
        <v>147</v>
      </c>
      <c r="L139" s="8" t="s">
        <v>151</v>
      </c>
      <c r="M139" s="6" t="s">
        <v>145</v>
      </c>
      <c r="N139" s="10">
        <f>N138</f>
        <v>17</v>
      </c>
      <c r="O139" t="s">
        <v>147</v>
      </c>
    </row>
    <row r="140" spans="1:15">
      <c r="D140" t="s">
        <v>122</v>
      </c>
    </row>
    <row r="142" spans="1:15">
      <c r="D142" s="8" t="s">
        <v>251</v>
      </c>
      <c r="E142" s="7" t="s">
        <v>23</v>
      </c>
      <c r="F142" t="str">
        <f>"("&amp;J139&amp;"+"&amp;N139&amp;")/2"</f>
        <v>(21+17)/2</v>
      </c>
      <c r="H142" s="8" t="s">
        <v>124</v>
      </c>
      <c r="I142" s="7" t="s">
        <v>23</v>
      </c>
      <c r="J142" t="str">
        <f>F143&amp;"×"&amp;F143&amp;"×"&amp;L136</f>
        <v>19×19×2</v>
      </c>
    </row>
    <row r="143" spans="1:15">
      <c r="E143" s="7" t="s">
        <v>23</v>
      </c>
      <c r="F143">
        <f>(J139+N139)/2</f>
        <v>19</v>
      </c>
      <c r="G143" t="s">
        <v>19</v>
      </c>
      <c r="I143" s="7" t="s">
        <v>23</v>
      </c>
      <c r="J143" s="21">
        <f>INT(F143^2*L136)</f>
        <v>722</v>
      </c>
      <c r="K143" t="s">
        <v>126</v>
      </c>
    </row>
    <row r="145" spans="5:5">
      <c r="E145" s="7"/>
    </row>
    <row r="152" spans="5:5">
      <c r="E152" s="7"/>
    </row>
    <row r="155" spans="5:5">
      <c r="E155" s="7"/>
    </row>
  </sheetData>
  <mergeCells count="57">
    <mergeCell ref="J88:K88"/>
    <mergeCell ref="J90:K90"/>
    <mergeCell ref="D121:D122"/>
    <mergeCell ref="F118:F119"/>
    <mergeCell ref="G118:G119"/>
    <mergeCell ref="E118:E119"/>
    <mergeCell ref="D116:E116"/>
    <mergeCell ref="D110:E110"/>
    <mergeCell ref="D112:E112"/>
    <mergeCell ref="H107:I108"/>
    <mergeCell ref="C121:C122"/>
    <mergeCell ref="E121:E122"/>
    <mergeCell ref="C118:C119"/>
    <mergeCell ref="D118:D119"/>
    <mergeCell ref="K118:K119"/>
    <mergeCell ref="J118:J119"/>
    <mergeCell ref="I118:I119"/>
    <mergeCell ref="H118:H119"/>
    <mergeCell ref="D94:G94"/>
    <mergeCell ref="D95:G95"/>
    <mergeCell ref="D114:E114"/>
    <mergeCell ref="C97:C98"/>
    <mergeCell ref="C107:C108"/>
    <mergeCell ref="D107:E107"/>
    <mergeCell ref="D97:J97"/>
    <mergeCell ref="D98:J98"/>
    <mergeCell ref="G107:G108"/>
    <mergeCell ref="F107:F108"/>
    <mergeCell ref="C53:C54"/>
    <mergeCell ref="G53:G54"/>
    <mergeCell ref="H53:H54"/>
    <mergeCell ref="I53:J54"/>
    <mergeCell ref="O118:O119"/>
    <mergeCell ref="N118:N119"/>
    <mergeCell ref="M118:M119"/>
    <mergeCell ref="L118:L119"/>
    <mergeCell ref="M90:N90"/>
    <mergeCell ref="C94:C95"/>
    <mergeCell ref="L34:L35"/>
    <mergeCell ref="I37:I38"/>
    <mergeCell ref="L37:L38"/>
    <mergeCell ref="C50:C51"/>
    <mergeCell ref="J34:K34"/>
    <mergeCell ref="J35:K35"/>
    <mergeCell ref="J37:K37"/>
    <mergeCell ref="J38:K38"/>
    <mergeCell ref="D50:E50"/>
    <mergeCell ref="D51:E51"/>
    <mergeCell ref="D9:E9"/>
    <mergeCell ref="D11:E11"/>
    <mergeCell ref="D18:E18"/>
    <mergeCell ref="C15:C16"/>
    <mergeCell ref="I34:I35"/>
    <mergeCell ref="D15:E15"/>
    <mergeCell ref="F15:G16"/>
    <mergeCell ref="F18:G18"/>
    <mergeCell ref="C28:G29"/>
  </mergeCells>
  <phoneticPr fontId="2"/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自然・浸透</vt:lpstr>
      <vt:lpstr>ろ過・凝集（簡易）</vt:lpstr>
      <vt:lpstr>ろ過計算式</vt:lpstr>
      <vt:lpstr>凝集計算式</vt:lpstr>
    </vt:vector>
  </TitlesOfParts>
  <Company>沖縄県庁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沖縄県庁</dc:creator>
  <cp:lastModifiedBy>沖縄県</cp:lastModifiedBy>
  <cp:lastPrinted>2007-08-23T08:36:11Z</cp:lastPrinted>
  <dcterms:created xsi:type="dcterms:W3CDTF">2005-12-21T01:03:25Z</dcterms:created>
  <dcterms:modified xsi:type="dcterms:W3CDTF">2020-11-09T07:09:33Z</dcterms:modified>
</cp:coreProperties>
</file>